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PulkitKathuria\OneDrive - Fraser Basin Council Society\Desktop\"/>
    </mc:Choice>
  </mc:AlternateContent>
  <xr:revisionPtr revIDLastSave="0" documentId="13_ncr:1_{EED85879-47ED-49BB-98DE-3CF765210FD3}" xr6:coauthVersionLast="47" xr6:coauthVersionMax="47" xr10:uidLastSave="{00000000-0000-0000-0000-000000000000}"/>
  <bookViews>
    <workbookView xWindow="-98" yWindow="-98" windowWidth="17115" windowHeight="10876" activeTab="1" xr2:uid="{00000000-000D-0000-FFFF-FFFF00000000}"/>
  </bookViews>
  <sheets>
    <sheet name="Disclaimer" sheetId="6" r:id="rId1"/>
    <sheet name="O &amp; M Cost &amp; Revenue_BC Hydro" sheetId="2" r:id="rId2"/>
    <sheet name="O &amp; M Cost &amp; Revenue_Fortis BC" sheetId="5" r:id="rId3"/>
  </sheets>
  <definedNames>
    <definedName name="Community" localSheetId="2">'O &amp; M Cost &amp; Revenue_Fortis BC'!$BH$9:$BH$10</definedName>
    <definedName name="Community">'O &amp; M Cost &amp; Revenue_BC Hydro'!$AF$9:$AF$10</definedName>
    <definedName name="FortisBC" localSheetId="2">'O &amp; M Cost &amp; Revenue_Fortis BC'!$B$45:$B$46</definedName>
    <definedName name="FortisBC">'O &amp; M Cost &amp; Revenue_BC Hydro'!$B$45:$B$46</definedName>
    <definedName name="Hydro" localSheetId="2">'O &amp; M Cost &amp; Revenue_Fortis BC'!$B$49:$B$51</definedName>
    <definedName name="Hydro">'O &amp; M Cost &amp; Revenue_BC Hydro'!$B$49:$B$51</definedName>
    <definedName name="Level2" localSheetId="2">'O &amp; M Cost &amp; Revenue_Fortis BC'!$BM$14:$BM$15</definedName>
    <definedName name="Level2">'O &amp; M Cost &amp; Revenue_BC Hydro'!$AK$14:$AK$15</definedName>
    <definedName name="No" localSheetId="2">'O &amp; M Cost &amp; Revenue_Fortis BC'!$BJ$9:$BJ$11</definedName>
    <definedName name="No">'O &amp; M Cost &amp; Revenue_BC Hydro'!$AH$9:$AH$11</definedName>
    <definedName name="Range1" localSheetId="2">'O &amp; M Cost &amp; Revenue_Fortis BC'!$BJ$9</definedName>
    <definedName name="Range1">'O &amp; M Cost &amp; Revenue_BC Hydro'!$AH$9</definedName>
    <definedName name="Range2" localSheetId="2">'O &amp; M Cost &amp; Revenue_Fortis BC'!$BJ$10</definedName>
    <definedName name="Range2">'O &amp; M Cost &amp; Revenue_BC Hydro'!$AH$10</definedName>
    <definedName name="Range3" localSheetId="2">'O &amp; M Cost &amp; Revenue_Fortis BC'!$BJ$11</definedName>
    <definedName name="Range3">'O &amp; M Cost &amp; Revenue_BC Hydro'!$AH$11</definedName>
    <definedName name="Rebate1" localSheetId="2">'O &amp; M Cost &amp; Revenue_Fortis BC'!$BJ$9</definedName>
    <definedName name="Rebate1">'O &amp; M Cost &amp; Revenue_BC Hydro'!$AH$9</definedName>
    <definedName name="Use" localSheetId="2">'O &amp; M Cost &amp; Revenue_Fortis BC'!#REF!</definedName>
    <definedName name="Use">'O &amp; M Cost &amp; Revenue_BC Hydro'!#REF!</definedName>
    <definedName name="Yes" localSheetId="2">'O &amp; M Cost &amp; Revenue_Fortis BC'!$BM$9:$BM$11</definedName>
    <definedName name="Yes">'O &amp; M Cost &amp; Revenue_BC Hydro'!$AK$9:$AK$11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5" l="1"/>
  <c r="D8" i="2"/>
  <c r="N24" i="5"/>
  <c r="I24" i="5"/>
  <c r="M24" i="5" s="1"/>
  <c r="J24" i="5" s="1"/>
  <c r="I23" i="5"/>
  <c r="M23" i="5" s="1"/>
  <c r="J23" i="5" s="1"/>
  <c r="I22" i="5"/>
  <c r="M22" i="5" s="1"/>
  <c r="J22" i="5" s="1"/>
  <c r="I21" i="5"/>
  <c r="M21" i="5" s="1"/>
  <c r="J21" i="5" s="1"/>
  <c r="I20" i="5"/>
  <c r="M20" i="5" s="1"/>
  <c r="J20" i="5" s="1"/>
  <c r="I19" i="5"/>
  <c r="M19" i="5" s="1"/>
  <c r="J19" i="5" s="1"/>
  <c r="I18" i="5"/>
  <c r="M18" i="5" s="1"/>
  <c r="J18" i="5" s="1"/>
  <c r="I17" i="5"/>
  <c r="M17" i="5" s="1"/>
  <c r="J17" i="5" s="1"/>
  <c r="D8" i="5" s="1"/>
  <c r="I16" i="5"/>
  <c r="M16" i="5" s="1"/>
  <c r="J16" i="5" s="1"/>
  <c r="I15" i="5"/>
  <c r="M15" i="5" s="1"/>
  <c r="J15" i="5" s="1"/>
  <c r="I14" i="5"/>
  <c r="M14" i="5" s="1"/>
  <c r="J14" i="5" s="1"/>
  <c r="I14" i="2"/>
  <c r="I15" i="2"/>
  <c r="I16" i="2"/>
  <c r="I17" i="2"/>
  <c r="I18" i="2"/>
  <c r="I19" i="2"/>
  <c r="I20" i="2"/>
  <c r="I21" i="2"/>
  <c r="I22" i="2"/>
  <c r="I23" i="2"/>
  <c r="I24" i="2"/>
  <c r="M15" i="2"/>
  <c r="J15" i="2" s="1"/>
  <c r="M16" i="2"/>
  <c r="J16" i="2" s="1"/>
  <c r="M17" i="2"/>
  <c r="J17" i="2" s="1"/>
  <c r="M18" i="2"/>
  <c r="J18" i="2" s="1"/>
  <c r="M19" i="2"/>
  <c r="J19" i="2" s="1"/>
  <c r="M20" i="2"/>
  <c r="J20" i="2" s="1"/>
  <c r="M21" i="2"/>
  <c r="J21" i="2" s="1"/>
  <c r="M22" i="2"/>
  <c r="J22" i="2" s="1"/>
  <c r="M23" i="2"/>
  <c r="J23" i="2" s="1"/>
  <c r="M24" i="2"/>
  <c r="J24" i="2" s="1"/>
  <c r="D19" i="5"/>
  <c r="E51" i="5"/>
  <c r="E50" i="5"/>
  <c r="E49" i="5"/>
  <c r="E47" i="5"/>
  <c r="E46" i="5"/>
  <c r="E45" i="5"/>
  <c r="D25" i="5"/>
  <c r="D24" i="5"/>
  <c r="D23" i="5"/>
  <c r="D22" i="5"/>
  <c r="D6" i="5"/>
  <c r="E17" i="5" s="1"/>
  <c r="D6" i="2"/>
  <c r="D40" i="5" l="1"/>
  <c r="D28" i="5" s="1"/>
  <c r="D32" i="5" s="1"/>
  <c r="N21" i="5"/>
  <c r="N20" i="5"/>
  <c r="N19" i="5"/>
  <c r="N18" i="5"/>
  <c r="N14" i="5"/>
  <c r="N17" i="5"/>
  <c r="N16" i="5"/>
  <c r="N23" i="5"/>
  <c r="N15" i="5"/>
  <c r="N22" i="5"/>
  <c r="D17" i="2"/>
  <c r="D17" i="5"/>
  <c r="D12" i="5"/>
  <c r="D26" i="5"/>
  <c r="D23" i="2"/>
  <c r="E50" i="2"/>
  <c r="E51" i="2"/>
  <c r="E47" i="2"/>
  <c r="E46" i="2"/>
  <c r="D41" i="5" l="1"/>
  <c r="E18" i="5"/>
  <c r="D18" i="5"/>
  <c r="D20" i="5" s="1"/>
  <c r="D34" i="5" s="1"/>
  <c r="D22" i="2"/>
  <c r="D25" i="2"/>
  <c r="D24" i="2"/>
  <c r="D43" i="5" l="1"/>
  <c r="E45" i="2"/>
  <c r="E49" i="2" l="1"/>
  <c r="D26" i="2"/>
  <c r="D19" i="2" l="1"/>
  <c r="M14" i="2"/>
  <c r="J14" i="2"/>
  <c r="D12" i="2" l="1"/>
  <c r="D18" i="2" s="1"/>
  <c r="D20" i="2" s="1"/>
  <c r="D39" i="2"/>
  <c r="D40" i="2" s="1"/>
  <c r="D41" i="2" l="1"/>
  <c r="D28" i="2"/>
  <c r="D32" i="2" s="1"/>
  <c r="D34" i="2" s="1"/>
  <c r="D43" i="2" s="1"/>
</calcChain>
</file>

<file path=xl/sharedStrings.xml><?xml version="1.0" encoding="utf-8"?>
<sst xmlns="http://schemas.openxmlformats.org/spreadsheetml/2006/main" count="331" uniqueCount="129">
  <si>
    <t>Site Location</t>
  </si>
  <si>
    <t>Capital Region</t>
  </si>
  <si>
    <t>Completion Key</t>
  </si>
  <si>
    <t># of Stations</t>
  </si>
  <si>
    <t>Yellow: Select drop down</t>
  </si>
  <si>
    <t>DCFC Station Output (kW)</t>
  </si>
  <si>
    <t>Orange: Fillable</t>
  </si>
  <si>
    <t>Average per DCFC Cost (station only)</t>
  </si>
  <si>
    <t>Green: Recommended values, editable</t>
  </si>
  <si>
    <r>
      <t xml:space="preserve">Sum of Station Outputs
</t>
    </r>
    <r>
      <rPr>
        <sz val="11"/>
        <color theme="1"/>
        <rFont val="Calibri"/>
        <family val="2"/>
        <scheme val="minor"/>
      </rPr>
      <t>(e.g. 2 x 50 kW = 100)</t>
    </r>
  </si>
  <si>
    <t>Grey: Auto-calculating</t>
  </si>
  <si>
    <t>Rate Class</t>
  </si>
  <si>
    <t>Small Gen'l (&lt;35 kW)</t>
  </si>
  <si>
    <t>Estimated Daily Uses per charger</t>
  </si>
  <si>
    <t>Typically &lt;1 to 12. Increases in urban areas, or free charges</t>
  </si>
  <si>
    <t xml:space="preserve">Community </t>
  </si>
  <si>
    <t>No</t>
  </si>
  <si>
    <t>Yes</t>
  </si>
  <si>
    <t xml:space="preserve">Colocating </t>
  </si>
  <si>
    <t>Fee Type for charger use</t>
  </si>
  <si>
    <t>per kWh requires Measurement Canada approved meter</t>
  </si>
  <si>
    <t>Per Minute</t>
  </si>
  <si>
    <t>&gt;20kW, but &lt;50kW DCFC</t>
  </si>
  <si>
    <t xml:space="preserve">Yes </t>
  </si>
  <si>
    <t>Price per kWh (if applicable)</t>
  </si>
  <si>
    <t>Typically $0.25 to $0.50 (may be lower if blended w/per minute)</t>
  </si>
  <si>
    <t xml:space="preserve">No </t>
  </si>
  <si>
    <t>&gt;50kW, but &lt;100kW DCFC</t>
  </si>
  <si>
    <t>Price per Minute  (if applicable)</t>
  </si>
  <si>
    <t>.</t>
  </si>
  <si>
    <t>&gt;100kW DCFC</t>
  </si>
  <si>
    <t>Annual kWh (est.)</t>
  </si>
  <si>
    <t>Region</t>
  </si>
  <si>
    <t>Avg. Charge duration (hrs)</t>
  </si>
  <si>
    <t>Utilization</t>
  </si>
  <si>
    <t>h/d</t>
  </si>
  <si>
    <t>Sessions</t>
  </si>
  <si>
    <t>Load Factor</t>
  </si>
  <si>
    <t>Daily kWh</t>
  </si>
  <si>
    <t>h/d 2</t>
  </si>
  <si>
    <t>Range1</t>
  </si>
  <si>
    <t>Level 2</t>
  </si>
  <si>
    <t>COSTS</t>
  </si>
  <si>
    <t>Metro Vancover</t>
  </si>
  <si>
    <t>Range2</t>
  </si>
  <si>
    <t>Cost Type</t>
  </si>
  <si>
    <t>Notes</t>
  </si>
  <si>
    <t>Annual Cost</t>
  </si>
  <si>
    <t>Fraser Valley</t>
  </si>
  <si>
    <t>Range3</t>
  </si>
  <si>
    <t>Electricity Costs</t>
  </si>
  <si>
    <t>Sea-to-Sky</t>
  </si>
  <si>
    <t>Demand Charges</t>
  </si>
  <si>
    <t>Calculated per rate class, daily uses, charge duration</t>
  </si>
  <si>
    <t>Energy Fees</t>
  </si>
  <si>
    <t>Mid- &amp; North Island</t>
  </si>
  <si>
    <t>Level 2 Charger &gt;32 Amps</t>
  </si>
  <si>
    <t>Basic/Customer Charge</t>
  </si>
  <si>
    <t>Calculated per rate class</t>
  </si>
  <si>
    <t>Thompson</t>
  </si>
  <si>
    <t>Subtotal (ex. tax, surcharges)</t>
  </si>
  <si>
    <t>Okanagan</t>
  </si>
  <si>
    <t>Maintenance &amp; Repair</t>
  </si>
  <si>
    <t>Boundary/W. Kootenay</t>
  </si>
  <si>
    <t>Routine Maintenance (component cleaning, filter replacement, bolt retorquing, connection inspection, etc)</t>
  </si>
  <si>
    <t>East Kootenay</t>
  </si>
  <si>
    <t>Overhaul (one-time, annualized)</t>
  </si>
  <si>
    <t>Estimated: 1/3 of purchase cost, over 5 years</t>
  </si>
  <si>
    <t>Northern Interior</t>
  </si>
  <si>
    <t>Cable replacement</t>
  </si>
  <si>
    <t>Estimated, assumes 1 replacement per charger annually</t>
  </si>
  <si>
    <t>Mid- &amp; North Coast</t>
  </si>
  <si>
    <t>Incidental damage</t>
  </si>
  <si>
    <t>Estimated: Contingency, annualized</t>
  </si>
  <si>
    <t>Subtotal</t>
  </si>
  <si>
    <t>Power Output</t>
  </si>
  <si>
    <t>Expected Rebate Amount (maximum)</t>
  </si>
  <si>
    <t>Other Costs</t>
  </si>
  <si>
    <t>Network/Transaction Fees</t>
  </si>
  <si>
    <t>Estimated, varies</t>
  </si>
  <si>
    <t>Cleaning/Plowing</t>
  </si>
  <si>
    <t>On-site customer service</t>
  </si>
  <si>
    <t>Customer walkthrough, troubleshooting</t>
  </si>
  <si>
    <t>Insurance</t>
  </si>
  <si>
    <t>Total Annual Operating Cost</t>
  </si>
  <si>
    <t>Level 2 Chargers &gt;32A</t>
  </si>
  <si>
    <t>REVENUE</t>
  </si>
  <si>
    <t>Revenue Type</t>
  </si>
  <si>
    <t>Annual Revenue</t>
  </si>
  <si>
    <t>per kWh fees</t>
  </si>
  <si>
    <t>per Minute fees</t>
  </si>
  <si>
    <t>Total Annual Operating Revenue</t>
  </si>
  <si>
    <t>ANNUAL NET OPERATING REVENUE</t>
  </si>
  <si>
    <t>Energy Charge</t>
  </si>
  <si>
    <t>Overnight Rate</t>
  </si>
  <si>
    <t>Basic Charge</t>
  </si>
  <si>
    <t>Small Commercial (&lt;50 kW)</t>
  </si>
  <si>
    <t>Commercial (&gt;50 kW but &lt;100kW)</t>
  </si>
  <si>
    <t>Large Commercial (&gt;100kW)</t>
  </si>
  <si>
    <t xml:space="preserve">Med Gen'l (35kW to 150kW) </t>
  </si>
  <si>
    <t xml:space="preserve"> </t>
  </si>
  <si>
    <t>Large Gen'l (&gt;150 kW)</t>
  </si>
  <si>
    <t>No fee</t>
  </si>
  <si>
    <t>Per kWh</t>
  </si>
  <si>
    <t>Blended per kWh &amp; per Minute</t>
  </si>
  <si>
    <t>New Rates effective April 1, 2021</t>
  </si>
  <si>
    <t>BCH Public DCFC Stations</t>
  </si>
  <si>
    <t>Public DCFC Service (25kW)</t>
  </si>
  <si>
    <t>per minute</t>
  </si>
  <si>
    <t>Public DCFC Service (50kW)</t>
  </si>
  <si>
    <t>Public DCFC Service (100kW)</t>
  </si>
  <si>
    <t>Med Gen'l (&gt;35kW to 150kW)</t>
  </si>
  <si>
    <t>per day</t>
  </si>
  <si>
    <t>Demand Charge</t>
  </si>
  <si>
    <t>per kW</t>
  </si>
  <si>
    <t>per kWh</t>
  </si>
  <si>
    <t>Large Gen'l (&gt;150kW)</t>
  </si>
  <si>
    <t>Overnight Rate (&gt;150kW)</t>
  </si>
  <si>
    <t>Small Commercial Service (&lt;40 kW)</t>
  </si>
  <si>
    <t xml:space="preserve">The estimation considers that all the EV chargers would be functioning at their highest possible output. </t>
  </si>
  <si>
    <t xml:space="preserve">Demand Charge </t>
  </si>
  <si>
    <t>Customer Charge</t>
  </si>
  <si>
    <t>$ per kWh</t>
  </si>
  <si>
    <t xml:space="preserve">bi-monthly billed </t>
  </si>
  <si>
    <t>Commercial Service (40 kW&lt;500 kW)</t>
  </si>
  <si>
    <t>villed for 30 day period</t>
  </si>
  <si>
    <t>Non-Indigenous Community Rebates</t>
  </si>
  <si>
    <t>Indigenous Community Rebates</t>
  </si>
  <si>
    <r>
      <t xml:space="preserve">
</t>
    </r>
    <r>
      <rPr>
        <b/>
        <sz val="14"/>
        <color theme="1"/>
        <rFont val="Calibri"/>
        <family val="2"/>
        <scheme val="minor"/>
      </rPr>
      <t>CleanBC Go Electric Public Charger Program DCFC Operating and Maintenace Cost and Revenue Calculator</t>
    </r>
    <r>
      <rPr>
        <b/>
        <sz val="11"/>
        <color theme="1"/>
        <rFont val="Calibri"/>
        <family val="2"/>
        <scheme val="minor"/>
      </rPr>
      <t xml:space="preserve">
This worksheet is provided as a guidance tool to estimate the costs and revenues associated with operation and maintainanca of one or more  electric vehicle direct current fast chargers (DCFCs). Capital costs are not included. Although best available information is incorporated into this document, figures and calculations herein are generalized estimates only, and actual costs may vary significantly from those presented depending on a number of factors, including, but not limited to:
-Frequency of use
-Level of output
-Operating conditions (weather, temperature)
-Operator error
-Charger make and model
-Natural disasters or unforeseen events
-Proximity to service professionals
-Availability of parts
-Changes to utility fees/Utility providing electricty 
Instructions to use: 
You can complete and submit the cost calculator sheet of the respective electric utility that supplies you electricity. The aim of the calculator is to provide the applicant insights into the O &amp; M costs associated with their proposed EV charger(s) and could differ significantly based on the factors mentioned above. Projects located in Penticton/Summerland/Nelson/Grand forks could complete the FortisBC Calculator sheet, and projects located in New Westminster could complete the BC Hydro sheet. All other projects would base cost on whichever of the two major utility prividers in which territory they fall in. Off grid project would provide cost based on their proposed power source. 
Neither the Fraser Basin Council, nor the Province of British Columbia accept any liability arising from the use of this worksheet. Please forward any questions or concerns to </t>
    </r>
    <r>
      <rPr>
        <b/>
        <sz val="11"/>
        <color rgb="FF0070C0"/>
        <rFont val="Calibri"/>
        <family val="2"/>
        <scheme val="minor"/>
      </rPr>
      <t>publiccharger@pluginbc.ca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</si>
</sst>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quot;$&quot;* #,##0.00_-;_-&quot;$&quot;* &quot;-&quot;??_-;_-@_-"/>
    <numFmt numFmtId="165" formatCode="_-* #,##0.00_-;\-* #,##0.00_-;_-* &quot;-&quot;??_-;_-@_-"/>
    <numFmt numFmtId="166" formatCode="_-* #,##0.0_-;\-* #,##0.0_-;_-* &quot;-&quot;??_-;_-@_-"/>
    <numFmt numFmtId="167" formatCode="_-* #,##0_-;\-* #,##0_-;_-* &quot;-&quot;??_-;_-@_-"/>
    <numFmt numFmtId="168" formatCode="&quot;$&quot;#,##0.00"/>
    <numFmt numFmtId="169" formatCode="_-&quot;$&quot;* #,##0.000_-;\-&quot;$&quot;* #,##0.000_-;_-&quot;$&quot;* &quot;-&quot;??_-;_-@_-"/>
    <numFmt numFmtId="170" formatCode="_-&quot;$&quot;* #,##0.0000_-;\-&quot;$&quot;* #,##0.0000_-;_-&quot;$&quot;* &quot;-&quot;??_-;_-@_-"/>
    <numFmt numFmtId="171" formatCode="_-&quot;$&quot;* #,##0_-;\-&quot;$&quot;* #,##0_-;_-&quot;$&quot;* &quot;-&quot;??_-;_-@_-"/>
    <numFmt numFmtId="172" formatCode="0.0"/>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b/>
      <sz val="10"/>
      <color theme="0"/>
      <name val="Arial"/>
      <family val="2"/>
    </font>
    <font>
      <b/>
      <sz val="11"/>
      <color theme="1"/>
      <name val="Calibri"/>
      <family val="2"/>
      <scheme val="minor"/>
    </font>
    <font>
      <i/>
      <sz val="9"/>
      <name val="Arial"/>
      <family val="2"/>
    </font>
    <font>
      <sz val="9"/>
      <name val="Arial"/>
      <family val="2"/>
    </font>
    <font>
      <b/>
      <sz val="12"/>
      <color theme="0"/>
      <name val="Arial"/>
      <family val="2"/>
    </font>
    <font>
      <b/>
      <sz val="14"/>
      <color theme="1"/>
      <name val="Calibri"/>
      <family val="2"/>
      <scheme val="minor"/>
    </font>
    <font>
      <b/>
      <sz val="18"/>
      <color theme="1"/>
      <name val="Calibri"/>
      <family val="2"/>
      <scheme val="minor"/>
    </font>
    <font>
      <b/>
      <sz val="11"/>
      <color rgb="FF0070C0"/>
      <name val="Calibri"/>
      <family val="2"/>
      <scheme val="minor"/>
    </font>
    <font>
      <b/>
      <u/>
      <sz val="11"/>
      <color theme="1"/>
      <name val="Calibri"/>
      <family val="2"/>
      <scheme val="minor"/>
    </font>
    <font>
      <b/>
      <u val="singleAccounting"/>
      <sz val="11"/>
      <color theme="1"/>
      <name val="Calibri"/>
      <family val="2"/>
      <scheme val="minor"/>
    </font>
    <font>
      <sz val="11"/>
      <color rgb="FFFF0000"/>
      <name val="Calibri"/>
      <family val="2"/>
      <scheme val="minor"/>
    </font>
    <font>
      <b/>
      <sz val="11"/>
      <color rgb="FF000000"/>
      <name val="Calibri"/>
      <family val="2"/>
    </font>
    <font>
      <sz val="11"/>
      <color rgb="FF000000"/>
      <name val="Calibri"/>
      <family val="2"/>
    </font>
  </fonts>
  <fills count="11">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bgColor indexed="64"/>
      </patternFill>
    </fill>
    <fill>
      <patternFill patternType="solid">
        <fgColor rgb="FFD9D9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0" fillId="0" borderId="0" xfId="0" applyAlignment="1">
      <alignment wrapText="1"/>
    </xf>
    <xf numFmtId="165" fontId="0" fillId="0" borderId="0" xfId="0" applyNumberFormat="1"/>
    <xf numFmtId="0" fontId="4" fillId="2" borderId="1" xfId="0" applyFont="1" applyFill="1" applyBorder="1" applyAlignment="1">
      <alignment horizontal="center" vertical="center" wrapText="1"/>
    </xf>
    <xf numFmtId="0" fontId="2" fillId="0" borderId="1" xfId="0" applyFont="1" applyBorder="1" applyAlignment="1">
      <alignment wrapText="1"/>
    </xf>
    <xf numFmtId="0" fontId="2" fillId="3" borderId="1" xfId="0" applyFont="1" applyFill="1" applyBorder="1" applyAlignment="1">
      <alignment horizontal="right" wrapText="1"/>
    </xf>
    <xf numFmtId="0" fontId="0" fillId="0" borderId="4" xfId="0" applyBorder="1"/>
    <xf numFmtId="0" fontId="0" fillId="0" borderId="5" xfId="0" applyBorder="1"/>
    <xf numFmtId="164" fontId="0" fillId="0" borderId="6" xfId="1" applyFont="1" applyBorder="1"/>
    <xf numFmtId="0" fontId="0" fillId="0" borderId="7" xfId="0" applyBorder="1"/>
    <xf numFmtId="164" fontId="0" fillId="0" borderId="8" xfId="1" applyFont="1" applyBorder="1"/>
    <xf numFmtId="0" fontId="0" fillId="0" borderId="8" xfId="0" applyBorder="1"/>
    <xf numFmtId="0" fontId="0" fillId="0" borderId="9" xfId="0" applyBorder="1"/>
    <xf numFmtId="0" fontId="0" fillId="0" borderId="10" xfId="0" applyBorder="1"/>
    <xf numFmtId="0" fontId="0" fillId="0" borderId="11" xfId="0" applyBorder="1"/>
    <xf numFmtId="0" fontId="6" fillId="0" borderId="1" xfId="0" applyFont="1" applyBorder="1" applyAlignment="1">
      <alignment horizontal="right" wrapText="1"/>
    </xf>
    <xf numFmtId="0" fontId="5" fillId="0" borderId="0" xfId="0" applyFont="1"/>
    <xf numFmtId="0" fontId="4" fillId="9" borderId="12" xfId="0" applyFont="1" applyFill="1" applyBorder="1" applyAlignment="1">
      <alignment wrapText="1"/>
    </xf>
    <xf numFmtId="0" fontId="2" fillId="0" borderId="0" xfId="0" applyFont="1" applyAlignment="1">
      <alignment horizontal="right" wrapText="1"/>
    </xf>
    <xf numFmtId="164" fontId="2" fillId="0" borderId="8" xfId="1" applyFont="1" applyFill="1" applyBorder="1" applyAlignment="1">
      <alignment wrapText="1"/>
    </xf>
    <xf numFmtId="164" fontId="8" fillId="9" borderId="12" xfId="1" applyFont="1" applyFill="1" applyBorder="1" applyAlignment="1">
      <alignment horizontal="right"/>
    </xf>
    <xf numFmtId="0" fontId="4" fillId="5" borderId="12" xfId="0" applyFont="1" applyFill="1" applyBorder="1" applyAlignment="1">
      <alignment wrapText="1"/>
    </xf>
    <xf numFmtId="0" fontId="9" fillId="0" borderId="28" xfId="0" applyFont="1" applyBorder="1"/>
    <xf numFmtId="0" fontId="10" fillId="0" borderId="27" xfId="0" applyFont="1" applyBorder="1"/>
    <xf numFmtId="0" fontId="12" fillId="0" borderId="0" xfId="0" applyFont="1"/>
    <xf numFmtId="165" fontId="13" fillId="0" borderId="0" xfId="0" applyNumberFormat="1" applyFont="1"/>
    <xf numFmtId="164" fontId="0" fillId="0" borderId="8" xfId="1" applyFont="1" applyBorder="1" applyAlignment="1">
      <alignment horizontal="right"/>
    </xf>
    <xf numFmtId="171" fontId="0" fillId="0" borderId="0" xfId="1" applyNumberFormat="1" applyFont="1" applyBorder="1" applyAlignment="1">
      <alignment horizontal="center" vertical="center"/>
    </xf>
    <xf numFmtId="3" fontId="0" fillId="0" borderId="0" xfId="0" applyNumberFormat="1"/>
    <xf numFmtId="164" fontId="0" fillId="0" borderId="0" xfId="1" applyFont="1"/>
    <xf numFmtId="164" fontId="0" fillId="0" borderId="0" xfId="1" applyFont="1" applyBorder="1"/>
    <xf numFmtId="164" fontId="0" fillId="0" borderId="0" xfId="1" applyFont="1" applyBorder="1" applyAlignment="1">
      <alignment horizontal="right"/>
    </xf>
    <xf numFmtId="0" fontId="15" fillId="0" borderId="0" xfId="0" applyFont="1"/>
    <xf numFmtId="0" fontId="16" fillId="0" borderId="0" xfId="0" applyFont="1"/>
    <xf numFmtId="10" fontId="16" fillId="0" borderId="0" xfId="0" applyNumberFormat="1" applyFont="1"/>
    <xf numFmtId="172" fontId="16" fillId="0" borderId="0" xfId="0" applyNumberFormat="1" applyFont="1"/>
    <xf numFmtId="0" fontId="0" fillId="0" borderId="0" xfId="0" applyProtection="1">
      <protection locked="0"/>
    </xf>
    <xf numFmtId="0" fontId="5" fillId="0" borderId="1" xfId="0" applyFont="1" applyBorder="1" applyProtection="1">
      <protection locked="0"/>
    </xf>
    <xf numFmtId="0" fontId="5" fillId="0" borderId="15" xfId="0" applyFont="1" applyBorder="1" applyProtection="1">
      <protection locked="0"/>
    </xf>
    <xf numFmtId="0" fontId="0" fillId="4" borderId="2" xfId="0" applyFill="1" applyBorder="1" applyProtection="1">
      <protection locked="0"/>
    </xf>
    <xf numFmtId="0" fontId="0" fillId="8" borderId="2" xfId="0" applyFill="1" applyBorder="1" applyProtection="1">
      <protection locked="0"/>
    </xf>
    <xf numFmtId="0" fontId="0" fillId="4" borderId="25" xfId="0" applyFill="1" applyBorder="1" applyProtection="1">
      <protection locked="0"/>
    </xf>
    <xf numFmtId="165" fontId="5" fillId="0" borderId="24" xfId="0" applyNumberFormat="1" applyFont="1" applyBorder="1" applyProtection="1">
      <protection locked="0"/>
    </xf>
    <xf numFmtId="0" fontId="5" fillId="0" borderId="1" xfId="0" applyFont="1" applyBorder="1" applyAlignment="1" applyProtection="1">
      <alignment wrapText="1"/>
      <protection locked="0"/>
    </xf>
    <xf numFmtId="0" fontId="0" fillId="8" borderId="18" xfId="0" applyFill="1" applyBorder="1" applyProtection="1">
      <protection locked="0"/>
    </xf>
    <xf numFmtId="0" fontId="5" fillId="0" borderId="21" xfId="0" applyFont="1" applyBorder="1" applyProtection="1">
      <protection locked="0"/>
    </xf>
    <xf numFmtId="164" fontId="0" fillId="8" borderId="2" xfId="1" applyFont="1" applyFill="1" applyBorder="1" applyProtection="1">
      <protection locked="0"/>
    </xf>
    <xf numFmtId="164" fontId="3" fillId="6" borderId="18" xfId="1" applyFont="1" applyFill="1" applyBorder="1" applyAlignment="1" applyProtection="1">
      <alignment wrapText="1"/>
      <protection locked="0"/>
    </xf>
    <xf numFmtId="165" fontId="5" fillId="0" borderId="21" xfId="0" applyNumberFormat="1" applyFont="1" applyBorder="1" applyProtection="1">
      <protection locked="0"/>
    </xf>
    <xf numFmtId="0" fontId="5" fillId="0" borderId="15" xfId="0" applyFont="1" applyBorder="1" applyAlignment="1" applyProtection="1">
      <alignment wrapText="1"/>
      <protection locked="0"/>
    </xf>
    <xf numFmtId="164" fontId="3" fillId="7" borderId="19" xfId="1" applyFont="1" applyFill="1" applyBorder="1" applyAlignment="1" applyProtection="1">
      <alignment wrapText="1"/>
      <protection locked="0"/>
    </xf>
    <xf numFmtId="165" fontId="5" fillId="0" borderId="16" xfId="0" applyNumberFormat="1" applyFont="1" applyBorder="1" applyProtection="1">
      <protection locked="0"/>
    </xf>
    <xf numFmtId="166" fontId="3" fillId="4" borderId="2" xfId="1" applyNumberFormat="1" applyFont="1" applyFill="1" applyBorder="1" applyAlignment="1" applyProtection="1">
      <alignment horizontal="right"/>
      <protection locked="0"/>
    </xf>
    <xf numFmtId="0" fontId="6" fillId="0" borderId="15" xfId="0" applyFont="1" applyBorder="1" applyAlignment="1" applyProtection="1">
      <alignment horizontal="right" wrapText="1"/>
      <protection locked="0"/>
    </xf>
    <xf numFmtId="0" fontId="6" fillId="0" borderId="1" xfId="0" applyFont="1" applyBorder="1" applyAlignment="1" applyProtection="1">
      <alignment horizontal="right" wrapText="1"/>
      <protection locked="0"/>
    </xf>
    <xf numFmtId="170" fontId="0" fillId="8" borderId="2" xfId="1" applyNumberFormat="1" applyFont="1" applyFill="1" applyBorder="1" applyProtection="1">
      <protection locked="0"/>
    </xf>
    <xf numFmtId="169" fontId="0" fillId="8" borderId="2" xfId="1" applyNumberFormat="1" applyFont="1" applyFill="1" applyBorder="1" applyAlignment="1" applyProtection="1">
      <alignment horizontal="left"/>
      <protection locked="0"/>
    </xf>
    <xf numFmtId="165" fontId="0" fillId="0" borderId="0" xfId="0" applyNumberFormat="1" applyProtection="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5" fillId="0" borderId="0" xfId="0" applyFont="1" applyProtection="1">
      <protection locked="0"/>
    </xf>
    <xf numFmtId="0" fontId="5" fillId="0" borderId="17" xfId="0" applyFont="1" applyBorder="1" applyProtection="1">
      <protection locked="0"/>
    </xf>
    <xf numFmtId="0" fontId="15" fillId="0" borderId="1" xfId="0" applyFont="1" applyBorder="1" applyProtection="1">
      <protection locked="0"/>
    </xf>
    <xf numFmtId="0" fontId="15" fillId="0" borderId="0" xfId="0" applyFont="1" applyProtection="1">
      <protection locked="0"/>
    </xf>
    <xf numFmtId="0" fontId="0" fillId="6" borderId="24" xfId="0" applyFill="1" applyBorder="1" applyAlignment="1" applyProtection="1">
      <alignment horizontal="center" vertical="center"/>
      <protection locked="0"/>
    </xf>
    <xf numFmtId="10" fontId="16" fillId="0" borderId="12" xfId="0" applyNumberFormat="1" applyFont="1" applyBorder="1" applyProtection="1">
      <protection locked="0"/>
    </xf>
    <xf numFmtId="172" fontId="16" fillId="0" borderId="0" xfId="0" applyNumberFormat="1" applyFont="1" applyProtection="1">
      <protection locked="0"/>
    </xf>
    <xf numFmtId="10" fontId="16" fillId="0" borderId="0" xfId="0" applyNumberFormat="1" applyFont="1" applyProtection="1">
      <protection locked="0"/>
    </xf>
    <xf numFmtId="0" fontId="16" fillId="0" borderId="0" xfId="0" applyFont="1" applyProtection="1">
      <protection locked="0"/>
    </xf>
    <xf numFmtId="0" fontId="4" fillId="2" borderId="12" xfId="0" applyFont="1" applyFill="1" applyBorder="1" applyAlignment="1" applyProtection="1">
      <alignment horizontal="center" vertical="center" wrapText="1"/>
      <protection locked="0"/>
    </xf>
    <xf numFmtId="0" fontId="0" fillId="6" borderId="21" xfId="0" applyFill="1" applyBorder="1" applyAlignment="1" applyProtection="1">
      <alignment horizontal="center" vertical="center"/>
      <protection locked="0"/>
    </xf>
    <xf numFmtId="0" fontId="2" fillId="0" borderId="1" xfId="0" applyFont="1" applyBorder="1" applyAlignment="1" applyProtection="1">
      <alignment wrapText="1"/>
      <protection locked="0"/>
    </xf>
    <xf numFmtId="0" fontId="0" fillId="0" borderId="3" xfId="0" applyBorder="1" applyProtection="1">
      <protection locked="0"/>
    </xf>
    <xf numFmtId="0" fontId="3" fillId="0" borderId="1" xfId="0" applyFont="1" applyBorder="1" applyAlignment="1" applyProtection="1">
      <alignment horizontal="right" wrapText="1"/>
      <protection locked="0"/>
    </xf>
    <xf numFmtId="49" fontId="14" fillId="0" borderId="0" xfId="0" applyNumberFormat="1" applyFont="1" applyAlignment="1" applyProtection="1">
      <alignment wrapText="1"/>
      <protection locked="0"/>
    </xf>
    <xf numFmtId="0" fontId="0" fillId="0" borderId="1" xfId="0" applyBorder="1" applyProtection="1">
      <protection locked="0"/>
    </xf>
    <xf numFmtId="0" fontId="2" fillId="3" borderId="1" xfId="0" applyFont="1" applyFill="1" applyBorder="1" applyAlignment="1" applyProtection="1">
      <alignment horizontal="right" wrapText="1"/>
      <protection locked="0"/>
    </xf>
    <xf numFmtId="164" fontId="2" fillId="3" borderId="1" xfId="1" applyFont="1" applyFill="1" applyBorder="1" applyAlignment="1" applyProtection="1">
      <alignment wrapText="1"/>
      <protection locked="0"/>
    </xf>
    <xf numFmtId="164" fontId="0" fillId="0" borderId="0" xfId="0" applyNumberFormat="1" applyProtection="1">
      <protection locked="0"/>
    </xf>
    <xf numFmtId="164" fontId="2" fillId="0" borderId="1" xfId="1" applyFont="1" applyFill="1" applyBorder="1" applyAlignment="1" applyProtection="1">
      <alignment horizontal="right"/>
      <protection locked="0"/>
    </xf>
    <xf numFmtId="0" fontId="7" fillId="0" borderId="1" xfId="0" applyFont="1" applyBorder="1" applyAlignment="1" applyProtection="1">
      <alignment horizontal="right" wrapText="1"/>
      <protection locked="0"/>
    </xf>
    <xf numFmtId="164" fontId="3" fillId="6" borderId="1" xfId="1" applyFont="1" applyFill="1" applyBorder="1" applyAlignment="1" applyProtection="1">
      <alignment wrapText="1"/>
      <protection locked="0"/>
    </xf>
    <xf numFmtId="0" fontId="0" fillId="6" borderId="16" xfId="0" applyFill="1" applyBorder="1" applyAlignment="1" applyProtection="1">
      <alignment horizontal="center" vertical="center"/>
      <protection locked="0"/>
    </xf>
    <xf numFmtId="0" fontId="0" fillId="0" borderId="7" xfId="0" applyBorder="1" applyProtection="1">
      <protection locked="0"/>
    </xf>
    <xf numFmtId="0" fontId="2" fillId="0" borderId="0" xfId="0" applyFont="1" applyAlignment="1" applyProtection="1">
      <alignment horizontal="right" wrapText="1"/>
      <protection locked="0"/>
    </xf>
    <xf numFmtId="164" fontId="2" fillId="0" borderId="8" xfId="1" applyFont="1" applyFill="1" applyBorder="1" applyAlignment="1" applyProtection="1">
      <alignment wrapText="1"/>
      <protection locked="0"/>
    </xf>
    <xf numFmtId="0" fontId="4" fillId="9" borderId="12" xfId="0" applyFont="1" applyFill="1" applyBorder="1" applyAlignment="1" applyProtection="1">
      <alignment wrapText="1"/>
      <protection locked="0"/>
    </xf>
    <xf numFmtId="164" fontId="8" fillId="9" borderId="12" xfId="1" applyFont="1" applyFill="1" applyBorder="1" applyAlignment="1" applyProtection="1">
      <alignment horizontal="right"/>
      <protection locked="0"/>
    </xf>
    <xf numFmtId="0" fontId="4" fillId="2" borderId="1" xfId="0" applyFont="1" applyFill="1" applyBorder="1" applyAlignment="1" applyProtection="1">
      <alignment horizontal="center" vertical="center" wrapText="1"/>
      <protection locked="0"/>
    </xf>
    <xf numFmtId="0" fontId="4" fillId="5" borderId="12" xfId="0" applyFont="1" applyFill="1" applyBorder="1" applyAlignment="1" applyProtection="1">
      <alignment wrapText="1"/>
      <protection locked="0"/>
    </xf>
    <xf numFmtId="164" fontId="3" fillId="7" borderId="1" xfId="1" applyFont="1" applyFill="1" applyBorder="1" applyAlignment="1" applyProtection="1">
      <alignment wrapText="1"/>
      <protection hidden="1"/>
    </xf>
    <xf numFmtId="164" fontId="2" fillId="3" borderId="1" xfId="1" applyFont="1" applyFill="1" applyBorder="1" applyAlignment="1" applyProtection="1">
      <alignment wrapText="1"/>
      <protection hidden="1"/>
    </xf>
    <xf numFmtId="170" fontId="3" fillId="7" borderId="1" xfId="1" applyNumberFormat="1" applyFont="1" applyFill="1" applyBorder="1" applyAlignment="1" applyProtection="1">
      <alignment wrapText="1"/>
      <protection hidden="1"/>
    </xf>
    <xf numFmtId="164" fontId="8" fillId="5" borderId="12" xfId="1" applyFont="1" applyFill="1" applyBorder="1" applyAlignment="1" applyProtection="1">
      <alignment horizontal="right"/>
      <protection hidden="1"/>
    </xf>
    <xf numFmtId="168" fontId="9" fillId="0" borderId="29" xfId="0" applyNumberFormat="1" applyFont="1" applyBorder="1" applyProtection="1">
      <protection hidden="1"/>
    </xf>
    <xf numFmtId="0" fontId="0" fillId="0" borderId="0" xfId="0" applyBorder="1" applyProtection="1">
      <protection locked="0"/>
    </xf>
    <xf numFmtId="165" fontId="0" fillId="0" borderId="0" xfId="0" applyNumberFormat="1" applyBorder="1" applyProtection="1">
      <protection locked="0"/>
    </xf>
    <xf numFmtId="165" fontId="0" fillId="0" borderId="0" xfId="0" applyNumberFormat="1" applyBorder="1"/>
    <xf numFmtId="165" fontId="14" fillId="0" borderId="0" xfId="0" applyNumberFormat="1" applyFont="1" applyProtection="1">
      <protection locked="0"/>
    </xf>
    <xf numFmtId="0" fontId="0" fillId="0" borderId="22" xfId="0" applyBorder="1" applyProtection="1">
      <protection hidden="1"/>
    </xf>
    <xf numFmtId="171" fontId="0" fillId="0" borderId="30" xfId="1" applyNumberFormat="1" applyFont="1" applyBorder="1" applyAlignment="1" applyProtection="1">
      <alignment horizontal="center" vertical="center"/>
      <protection hidden="1"/>
    </xf>
    <xf numFmtId="0" fontId="0" fillId="0" borderId="30" xfId="0" applyBorder="1" applyProtection="1">
      <protection hidden="1"/>
    </xf>
    <xf numFmtId="0" fontId="0" fillId="0" borderId="20" xfId="0" applyFont="1" applyBorder="1" applyProtection="1">
      <protection hidden="1"/>
    </xf>
    <xf numFmtId="171" fontId="0" fillId="0" borderId="31" xfId="1" applyNumberFormat="1" applyFont="1" applyBorder="1" applyAlignment="1" applyProtection="1">
      <alignment horizontal="center" vertical="center"/>
      <protection hidden="1"/>
    </xf>
    <xf numFmtId="0" fontId="0" fillId="10" borderId="2" xfId="0" applyFill="1" applyBorder="1" applyAlignment="1" applyProtection="1">
      <alignment horizontal="right" vertical="center"/>
      <protection locked="0"/>
    </xf>
    <xf numFmtId="171" fontId="0" fillId="0" borderId="0" xfId="1" applyNumberFormat="1" applyFont="1" applyBorder="1" applyAlignment="1" applyProtection="1">
      <alignment horizontal="center" vertical="center"/>
      <protection locked="0"/>
    </xf>
    <xf numFmtId="3" fontId="0" fillId="0" borderId="0" xfId="0" applyNumberFormat="1" applyProtection="1">
      <protection locked="0"/>
    </xf>
    <xf numFmtId="164" fontId="8" fillId="5" borderId="12" xfId="1" applyFont="1" applyFill="1" applyBorder="1" applyAlignment="1" applyProtection="1">
      <alignment horizontal="right"/>
      <protection locked="0"/>
    </xf>
    <xf numFmtId="0" fontId="10" fillId="0" borderId="27" xfId="0" applyFont="1" applyBorder="1" applyProtection="1">
      <protection locked="0"/>
    </xf>
    <xf numFmtId="0" fontId="9" fillId="0" borderId="28" xfId="0" applyFont="1" applyBorder="1" applyProtection="1">
      <protection locked="0"/>
    </xf>
    <xf numFmtId="168" fontId="9" fillId="0" borderId="29" xfId="0" applyNumberFormat="1" applyFont="1" applyBorder="1" applyProtection="1">
      <protection locked="0"/>
    </xf>
    <xf numFmtId="0" fontId="12" fillId="0" borderId="0" xfId="0" applyFont="1" applyProtection="1">
      <protection locked="0"/>
    </xf>
    <xf numFmtId="165" fontId="13" fillId="0" borderId="0" xfId="0" applyNumberFormat="1" applyFont="1" applyProtection="1">
      <protection locked="0"/>
    </xf>
    <xf numFmtId="0" fontId="0" fillId="0" borderId="4" xfId="0" applyBorder="1" applyProtection="1">
      <protection locked="0"/>
    </xf>
    <xf numFmtId="0" fontId="0" fillId="0" borderId="5" xfId="0" applyBorder="1" applyProtection="1">
      <protection locked="0"/>
    </xf>
    <xf numFmtId="164" fontId="0" fillId="0" borderId="6" xfId="1" applyFont="1" applyBorder="1" applyProtection="1">
      <protection locked="0"/>
    </xf>
    <xf numFmtId="164" fontId="0" fillId="0" borderId="8" xfId="1" applyFont="1" applyBorder="1" applyProtection="1">
      <protection locked="0"/>
    </xf>
    <xf numFmtId="164" fontId="0" fillId="0" borderId="8" xfId="1" applyFont="1" applyBorder="1" applyAlignment="1" applyProtection="1">
      <alignment horizontal="righ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5" fillId="0" borderId="13" xfId="0" applyFont="1" applyBorder="1" applyAlignment="1" applyProtection="1">
      <alignment horizontal="center"/>
      <protection hidden="1"/>
    </xf>
    <xf numFmtId="167" fontId="2" fillId="7" borderId="14" xfId="1" applyNumberFormat="1" applyFont="1" applyFill="1" applyBorder="1" applyAlignment="1" applyProtection="1">
      <alignment wrapText="1"/>
      <protection hidden="1"/>
    </xf>
    <xf numFmtId="0" fontId="0" fillId="10" borderId="2" xfId="0" applyFill="1" applyBorder="1" applyProtection="1">
      <protection hidden="1"/>
    </xf>
    <xf numFmtId="0" fontId="5" fillId="0" borderId="23" xfId="0" applyFont="1" applyBorder="1" applyProtection="1">
      <protection hidden="1"/>
    </xf>
    <xf numFmtId="0" fontId="5" fillId="0" borderId="17" xfId="0" applyFont="1" applyBorder="1" applyProtection="1">
      <protection hidden="1"/>
    </xf>
    <xf numFmtId="0" fontId="0" fillId="0" borderId="22" xfId="0" applyBorder="1" applyAlignment="1" applyProtection="1">
      <alignment vertical="center"/>
      <protection hidden="1"/>
    </xf>
    <xf numFmtId="0" fontId="0" fillId="0" borderId="20" xfId="0" applyBorder="1" applyAlignment="1" applyProtection="1">
      <alignment vertical="center"/>
      <protection hidden="1"/>
    </xf>
    <xf numFmtId="0" fontId="0" fillId="0" borderId="0" xfId="0" applyProtection="1">
      <protection hidden="1"/>
    </xf>
    <xf numFmtId="0" fontId="0" fillId="0" borderId="22" xfId="0" applyFont="1" applyBorder="1" applyProtection="1">
      <protection hidden="1"/>
    </xf>
    <xf numFmtId="0" fontId="5" fillId="8" borderId="0" xfId="0" applyFont="1" applyFill="1" applyAlignment="1">
      <alignment horizontal="left" wrapText="1"/>
    </xf>
    <xf numFmtId="0" fontId="5" fillId="8" borderId="0" xfId="0" applyFont="1" applyFill="1" applyAlignment="1">
      <alignment horizontal="left"/>
    </xf>
    <xf numFmtId="0" fontId="5" fillId="0" borderId="23"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5" fillId="0" borderId="23"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23" xfId="0" applyFont="1" applyBorder="1" applyAlignment="1">
      <alignment horizontal="center"/>
    </xf>
    <xf numFmtId="0" fontId="5" fillId="0" borderId="26" xfId="0" applyFont="1" applyBorder="1" applyAlignment="1">
      <alignment horizontal="center"/>
    </xf>
    <xf numFmtId="0" fontId="5" fillId="0" borderId="13" xfId="0" applyFont="1" applyBorder="1" applyAlignment="1">
      <alignment horizontal="center"/>
    </xf>
    <xf numFmtId="0" fontId="5"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19421-098A-475E-8C14-CD652E7A4211}">
  <dimension ref="B2:O31"/>
  <sheetViews>
    <sheetView showGridLines="0" workbookViewId="0">
      <selection activeCell="B2" sqref="B2:O30"/>
    </sheetView>
  </sheetViews>
  <sheetFormatPr defaultRowHeight="14.25" x14ac:dyDescent="0.45"/>
  <sheetData>
    <row r="2" spans="2:15" ht="17" customHeight="1" x14ac:dyDescent="0.45">
      <c r="B2" s="131" t="s">
        <v>128</v>
      </c>
      <c r="C2" s="132"/>
      <c r="D2" s="132"/>
      <c r="E2" s="132"/>
      <c r="F2" s="132"/>
      <c r="G2" s="132"/>
      <c r="H2" s="132"/>
      <c r="I2" s="132"/>
      <c r="J2" s="132"/>
      <c r="K2" s="132"/>
      <c r="L2" s="132"/>
      <c r="M2" s="132"/>
      <c r="N2" s="132"/>
      <c r="O2" s="132"/>
    </row>
    <row r="3" spans="2:15" ht="17" customHeight="1" x14ac:dyDescent="0.45">
      <c r="B3" s="132"/>
      <c r="C3" s="132"/>
      <c r="D3" s="132"/>
      <c r="E3" s="132"/>
      <c r="F3" s="132"/>
      <c r="G3" s="132"/>
      <c r="H3" s="132"/>
      <c r="I3" s="132"/>
      <c r="J3" s="132"/>
      <c r="K3" s="132"/>
      <c r="L3" s="132"/>
      <c r="M3" s="132"/>
      <c r="N3" s="132"/>
      <c r="O3" s="132"/>
    </row>
    <row r="4" spans="2:15" ht="17" customHeight="1" x14ac:dyDescent="0.45">
      <c r="B4" s="132"/>
      <c r="C4" s="132"/>
      <c r="D4" s="132"/>
      <c r="E4" s="132"/>
      <c r="F4" s="132"/>
      <c r="G4" s="132"/>
      <c r="H4" s="132"/>
      <c r="I4" s="132"/>
      <c r="J4" s="132"/>
      <c r="K4" s="132"/>
      <c r="L4" s="132"/>
      <c r="M4" s="132"/>
      <c r="N4" s="132"/>
      <c r="O4" s="132"/>
    </row>
    <row r="5" spans="2:15" ht="17" customHeight="1" x14ac:dyDescent="0.45">
      <c r="B5" s="132"/>
      <c r="C5" s="132"/>
      <c r="D5" s="132"/>
      <c r="E5" s="132"/>
      <c r="F5" s="132"/>
      <c r="G5" s="132"/>
      <c r="H5" s="132"/>
      <c r="I5" s="132"/>
      <c r="J5" s="132"/>
      <c r="K5" s="132"/>
      <c r="L5" s="132"/>
      <c r="M5" s="132"/>
      <c r="N5" s="132"/>
      <c r="O5" s="132"/>
    </row>
    <row r="6" spans="2:15" ht="17" customHeight="1" x14ac:dyDescent="0.45">
      <c r="B6" s="132"/>
      <c r="C6" s="132"/>
      <c r="D6" s="132"/>
      <c r="E6" s="132"/>
      <c r="F6" s="132"/>
      <c r="G6" s="132"/>
      <c r="H6" s="132"/>
      <c r="I6" s="132"/>
      <c r="J6" s="132"/>
      <c r="K6" s="132"/>
      <c r="L6" s="132"/>
      <c r="M6" s="132"/>
      <c r="N6" s="132"/>
      <c r="O6" s="132"/>
    </row>
    <row r="7" spans="2:15" ht="17" customHeight="1" x14ac:dyDescent="0.45">
      <c r="B7" s="132"/>
      <c r="C7" s="132"/>
      <c r="D7" s="132"/>
      <c r="E7" s="132"/>
      <c r="F7" s="132"/>
      <c r="G7" s="132"/>
      <c r="H7" s="132"/>
      <c r="I7" s="132"/>
      <c r="J7" s="132"/>
      <c r="K7" s="132"/>
      <c r="L7" s="132"/>
      <c r="M7" s="132"/>
      <c r="N7" s="132"/>
      <c r="O7" s="132"/>
    </row>
    <row r="8" spans="2:15" ht="17" customHeight="1" x14ac:dyDescent="0.45">
      <c r="B8" s="132"/>
      <c r="C8" s="132"/>
      <c r="D8" s="132"/>
      <c r="E8" s="132"/>
      <c r="F8" s="132"/>
      <c r="G8" s="132"/>
      <c r="H8" s="132"/>
      <c r="I8" s="132"/>
      <c r="J8" s="132"/>
      <c r="K8" s="132"/>
      <c r="L8" s="132"/>
      <c r="M8" s="132"/>
      <c r="N8" s="132"/>
      <c r="O8" s="132"/>
    </row>
    <row r="9" spans="2:15" ht="17" customHeight="1" x14ac:dyDescent="0.45">
      <c r="B9" s="132"/>
      <c r="C9" s="132"/>
      <c r="D9" s="132"/>
      <c r="E9" s="132"/>
      <c r="F9" s="132"/>
      <c r="G9" s="132"/>
      <c r="H9" s="132"/>
      <c r="I9" s="132"/>
      <c r="J9" s="132"/>
      <c r="K9" s="132"/>
      <c r="L9" s="132"/>
      <c r="M9" s="132"/>
      <c r="N9" s="132"/>
      <c r="O9" s="132"/>
    </row>
    <row r="10" spans="2:15" ht="17" customHeight="1" x14ac:dyDescent="0.45">
      <c r="B10" s="132"/>
      <c r="C10" s="132"/>
      <c r="D10" s="132"/>
      <c r="E10" s="132"/>
      <c r="F10" s="132"/>
      <c r="G10" s="132"/>
      <c r="H10" s="132"/>
      <c r="I10" s="132"/>
      <c r="J10" s="132"/>
      <c r="K10" s="132"/>
      <c r="L10" s="132"/>
      <c r="M10" s="132"/>
      <c r="N10" s="132"/>
      <c r="O10" s="132"/>
    </row>
    <row r="11" spans="2:15" ht="17" customHeight="1" x14ac:dyDescent="0.45">
      <c r="B11" s="132"/>
      <c r="C11" s="132"/>
      <c r="D11" s="132"/>
      <c r="E11" s="132"/>
      <c r="F11" s="132"/>
      <c r="G11" s="132"/>
      <c r="H11" s="132"/>
      <c r="I11" s="132"/>
      <c r="J11" s="132"/>
      <c r="K11" s="132"/>
      <c r="L11" s="132"/>
      <c r="M11" s="132"/>
      <c r="N11" s="132"/>
      <c r="O11" s="132"/>
    </row>
    <row r="12" spans="2:15" ht="17" customHeight="1" x14ac:dyDescent="0.45">
      <c r="B12" s="132"/>
      <c r="C12" s="132"/>
      <c r="D12" s="132"/>
      <c r="E12" s="132"/>
      <c r="F12" s="132"/>
      <c r="G12" s="132"/>
      <c r="H12" s="132"/>
      <c r="I12" s="132"/>
      <c r="J12" s="132"/>
      <c r="K12" s="132"/>
      <c r="L12" s="132"/>
      <c r="M12" s="132"/>
      <c r="N12" s="132"/>
      <c r="O12" s="132"/>
    </row>
    <row r="13" spans="2:15" ht="17" customHeight="1" x14ac:dyDescent="0.45">
      <c r="B13" s="132"/>
      <c r="C13" s="132"/>
      <c r="D13" s="132"/>
      <c r="E13" s="132"/>
      <c r="F13" s="132"/>
      <c r="G13" s="132"/>
      <c r="H13" s="132"/>
      <c r="I13" s="132"/>
      <c r="J13" s="132"/>
      <c r="K13" s="132"/>
      <c r="L13" s="132"/>
      <c r="M13" s="132"/>
      <c r="N13" s="132"/>
      <c r="O13" s="132"/>
    </row>
    <row r="14" spans="2:15" ht="17" customHeight="1" x14ac:dyDescent="0.45">
      <c r="B14" s="132"/>
      <c r="C14" s="132"/>
      <c r="D14" s="132"/>
      <c r="E14" s="132"/>
      <c r="F14" s="132"/>
      <c r="G14" s="132"/>
      <c r="H14" s="132"/>
      <c r="I14" s="132"/>
      <c r="J14" s="132"/>
      <c r="K14" s="132"/>
      <c r="L14" s="132"/>
      <c r="M14" s="132"/>
      <c r="N14" s="132"/>
      <c r="O14" s="132"/>
    </row>
    <row r="15" spans="2:15" ht="17" customHeight="1" x14ac:dyDescent="0.45">
      <c r="B15" s="132"/>
      <c r="C15" s="132"/>
      <c r="D15" s="132"/>
      <c r="E15" s="132"/>
      <c r="F15" s="132"/>
      <c r="G15" s="132"/>
      <c r="H15" s="132"/>
      <c r="I15" s="132"/>
      <c r="J15" s="132"/>
      <c r="K15" s="132"/>
      <c r="L15" s="132"/>
      <c r="M15" s="132"/>
      <c r="N15" s="132"/>
      <c r="O15" s="132"/>
    </row>
    <row r="16" spans="2:15" ht="17" customHeight="1" x14ac:dyDescent="0.45">
      <c r="B16" s="132"/>
      <c r="C16" s="132"/>
      <c r="D16" s="132"/>
      <c r="E16" s="132"/>
      <c r="F16" s="132"/>
      <c r="G16" s="132"/>
      <c r="H16" s="132"/>
      <c r="I16" s="132"/>
      <c r="J16" s="132"/>
      <c r="K16" s="132"/>
      <c r="L16" s="132"/>
      <c r="M16" s="132"/>
      <c r="N16" s="132"/>
      <c r="O16" s="132"/>
    </row>
    <row r="17" spans="2:15" ht="17" customHeight="1" x14ac:dyDescent="0.45">
      <c r="B17" s="132"/>
      <c r="C17" s="132"/>
      <c r="D17" s="132"/>
      <c r="E17" s="132"/>
      <c r="F17" s="132"/>
      <c r="G17" s="132"/>
      <c r="H17" s="132"/>
      <c r="I17" s="132"/>
      <c r="J17" s="132"/>
      <c r="K17" s="132"/>
      <c r="L17" s="132"/>
      <c r="M17" s="132"/>
      <c r="N17" s="132"/>
      <c r="O17" s="132"/>
    </row>
    <row r="18" spans="2:15" ht="17" customHeight="1" x14ac:dyDescent="0.45">
      <c r="B18" s="132"/>
      <c r="C18" s="132"/>
      <c r="D18" s="132"/>
      <c r="E18" s="132"/>
      <c r="F18" s="132"/>
      <c r="G18" s="132"/>
      <c r="H18" s="132"/>
      <c r="I18" s="132"/>
      <c r="J18" s="132"/>
      <c r="K18" s="132"/>
      <c r="L18" s="132"/>
      <c r="M18" s="132"/>
      <c r="N18" s="132"/>
      <c r="O18" s="132"/>
    </row>
    <row r="19" spans="2:15" ht="17" customHeight="1" x14ac:dyDescent="0.45">
      <c r="B19" s="132"/>
      <c r="C19" s="132"/>
      <c r="D19" s="132"/>
      <c r="E19" s="132"/>
      <c r="F19" s="132"/>
      <c r="G19" s="132"/>
      <c r="H19" s="132"/>
      <c r="I19" s="132"/>
      <c r="J19" s="132"/>
      <c r="K19" s="132"/>
      <c r="L19" s="132"/>
      <c r="M19" s="132"/>
      <c r="N19" s="132"/>
      <c r="O19" s="132"/>
    </row>
    <row r="20" spans="2:15" ht="17" customHeight="1" x14ac:dyDescent="0.45">
      <c r="B20" s="132"/>
      <c r="C20" s="132"/>
      <c r="D20" s="132"/>
      <c r="E20" s="132"/>
      <c r="F20" s="132"/>
      <c r="G20" s="132"/>
      <c r="H20" s="132"/>
      <c r="I20" s="132"/>
      <c r="J20" s="132"/>
      <c r="K20" s="132"/>
      <c r="L20" s="132"/>
      <c r="M20" s="132"/>
      <c r="N20" s="132"/>
      <c r="O20" s="132"/>
    </row>
    <row r="21" spans="2:15" ht="17" customHeight="1" x14ac:dyDescent="0.45">
      <c r="B21" s="132"/>
      <c r="C21" s="132"/>
      <c r="D21" s="132"/>
      <c r="E21" s="132"/>
      <c r="F21" s="132"/>
      <c r="G21" s="132"/>
      <c r="H21" s="132"/>
      <c r="I21" s="132"/>
      <c r="J21" s="132"/>
      <c r="K21" s="132"/>
      <c r="L21" s="132"/>
      <c r="M21" s="132"/>
      <c r="N21" s="132"/>
      <c r="O21" s="132"/>
    </row>
    <row r="22" spans="2:15" ht="17" customHeight="1" x14ac:dyDescent="0.45">
      <c r="B22" s="132"/>
      <c r="C22" s="132"/>
      <c r="D22" s="132"/>
      <c r="E22" s="132"/>
      <c r="F22" s="132"/>
      <c r="G22" s="132"/>
      <c r="H22" s="132"/>
      <c r="I22" s="132"/>
      <c r="J22" s="132"/>
      <c r="K22" s="132"/>
      <c r="L22" s="132"/>
      <c r="M22" s="132"/>
      <c r="N22" s="132"/>
      <c r="O22" s="132"/>
    </row>
    <row r="23" spans="2:15" ht="17" customHeight="1" x14ac:dyDescent="0.45">
      <c r="B23" s="132"/>
      <c r="C23" s="132"/>
      <c r="D23" s="132"/>
      <c r="E23" s="132"/>
      <c r="F23" s="132"/>
      <c r="G23" s="132"/>
      <c r="H23" s="132"/>
      <c r="I23" s="132"/>
      <c r="J23" s="132"/>
      <c r="K23" s="132"/>
      <c r="L23" s="132"/>
      <c r="M23" s="132"/>
      <c r="N23" s="132"/>
      <c r="O23" s="132"/>
    </row>
    <row r="24" spans="2:15" ht="17" customHeight="1" x14ac:dyDescent="0.45">
      <c r="B24" s="132"/>
      <c r="C24" s="132"/>
      <c r="D24" s="132"/>
      <c r="E24" s="132"/>
      <c r="F24" s="132"/>
      <c r="G24" s="132"/>
      <c r="H24" s="132"/>
      <c r="I24" s="132"/>
      <c r="J24" s="132"/>
      <c r="K24" s="132"/>
      <c r="L24" s="132"/>
      <c r="M24" s="132"/>
      <c r="N24" s="132"/>
      <c r="O24" s="132"/>
    </row>
    <row r="25" spans="2:15" ht="17" customHeight="1" x14ac:dyDescent="0.45">
      <c r="B25" s="132"/>
      <c r="C25" s="132"/>
      <c r="D25" s="132"/>
      <c r="E25" s="132"/>
      <c r="F25" s="132"/>
      <c r="G25" s="132"/>
      <c r="H25" s="132"/>
      <c r="I25" s="132"/>
      <c r="J25" s="132"/>
      <c r="K25" s="132"/>
      <c r="L25" s="132"/>
      <c r="M25" s="132"/>
      <c r="N25" s="132"/>
      <c r="O25" s="132"/>
    </row>
    <row r="26" spans="2:15" ht="17" customHeight="1" x14ac:dyDescent="0.45">
      <c r="B26" s="132"/>
      <c r="C26" s="132"/>
      <c r="D26" s="132"/>
      <c r="E26" s="132"/>
      <c r="F26" s="132"/>
      <c r="G26" s="132"/>
      <c r="H26" s="132"/>
      <c r="I26" s="132"/>
      <c r="J26" s="132"/>
      <c r="K26" s="132"/>
      <c r="L26" s="132"/>
      <c r="M26" s="132"/>
      <c r="N26" s="132"/>
      <c r="O26" s="132"/>
    </row>
    <row r="27" spans="2:15" ht="17" customHeight="1" x14ac:dyDescent="0.45">
      <c r="B27" s="132"/>
      <c r="C27" s="132"/>
      <c r="D27" s="132"/>
      <c r="E27" s="132"/>
      <c r="F27" s="132"/>
      <c r="G27" s="132"/>
      <c r="H27" s="132"/>
      <c r="I27" s="132"/>
      <c r="J27" s="132"/>
      <c r="K27" s="132"/>
      <c r="L27" s="132"/>
      <c r="M27" s="132"/>
      <c r="N27" s="132"/>
      <c r="O27" s="132"/>
    </row>
    <row r="28" spans="2:15" ht="17" customHeight="1" x14ac:dyDescent="0.45">
      <c r="B28" s="132"/>
      <c r="C28" s="132"/>
      <c r="D28" s="132"/>
      <c r="E28" s="132"/>
      <c r="F28" s="132"/>
      <c r="G28" s="132"/>
      <c r="H28" s="132"/>
      <c r="I28" s="132"/>
      <c r="J28" s="132"/>
      <c r="K28" s="132"/>
      <c r="L28" s="132"/>
      <c r="M28" s="132"/>
      <c r="N28" s="132"/>
      <c r="O28" s="132"/>
    </row>
    <row r="29" spans="2:15" ht="17" customHeight="1" x14ac:dyDescent="0.45">
      <c r="B29" s="132"/>
      <c r="C29" s="132"/>
      <c r="D29" s="132"/>
      <c r="E29" s="132"/>
      <c r="F29" s="132"/>
      <c r="G29" s="132"/>
      <c r="H29" s="132"/>
      <c r="I29" s="132"/>
      <c r="J29" s="132"/>
      <c r="K29" s="132"/>
      <c r="L29" s="132"/>
      <c r="M29" s="132"/>
      <c r="N29" s="132"/>
      <c r="O29" s="132"/>
    </row>
    <row r="30" spans="2:15" ht="17" customHeight="1" x14ac:dyDescent="0.45">
      <c r="B30" s="132"/>
      <c r="C30" s="132"/>
      <c r="D30" s="132"/>
      <c r="E30" s="132"/>
      <c r="F30" s="132"/>
      <c r="G30" s="132"/>
      <c r="H30" s="132"/>
      <c r="I30" s="132"/>
      <c r="J30" s="132"/>
      <c r="K30" s="132"/>
      <c r="L30" s="132"/>
      <c r="M30" s="132"/>
      <c r="N30" s="132"/>
      <c r="O30" s="132"/>
    </row>
    <row r="31" spans="2:15" ht="17" customHeight="1" x14ac:dyDescent="0.45"/>
  </sheetData>
  <sheetProtection algorithmName="SHA-512" hashValue="I1PMP4/WtYeZTEICCdeDztZ9MsJId15hQ3rZi3ENwuDsg4kmvr68yHAPmlB2HlQKpIyEcwqsVOR+0toXINU7iw==" saltValue="xd4LipCmPLFPkuxeaNb/4A==" spinCount="100000" sheet="1" objects="1" scenarios="1"/>
  <mergeCells count="1">
    <mergeCell ref="B2:O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O108"/>
  <sheetViews>
    <sheetView tabSelected="1" topLeftCell="C4" zoomScale="70" zoomScaleNormal="70" workbookViewId="0">
      <selection activeCell="P16" sqref="P16"/>
    </sheetView>
  </sheetViews>
  <sheetFormatPr defaultColWidth="9.1328125" defaultRowHeight="14.25" x14ac:dyDescent="0.45"/>
  <cols>
    <col min="1" max="1" width="12.53125" style="36" customWidth="1"/>
    <col min="2" max="2" width="46.53125" style="36" customWidth="1"/>
    <col min="3" max="3" width="49.46484375" style="36" bestFit="1" customWidth="1"/>
    <col min="4" max="4" width="28.46484375" style="36" customWidth="1"/>
    <col min="5" max="5" width="24.1328125" style="36" bestFit="1" customWidth="1"/>
    <col min="6" max="6" width="26.19921875" style="36" customWidth="1"/>
    <col min="7" max="7" width="45.46484375" style="36" customWidth="1"/>
    <col min="8" max="8" width="11.796875" style="36" hidden="1" customWidth="1"/>
    <col min="9" max="9" width="10.46484375" style="36" hidden="1" customWidth="1"/>
    <col min="10" max="10" width="9.1328125" style="36" hidden="1" customWidth="1"/>
    <col min="11" max="11" width="21.86328125" style="36" hidden="1" customWidth="1"/>
    <col min="12" max="12" width="11.86328125" style="36" hidden="1" customWidth="1"/>
    <col min="13" max="13" width="9.1328125" style="36" hidden="1" customWidth="1"/>
    <col min="14" max="14" width="21.86328125" style="36" hidden="1" customWidth="1"/>
    <col min="15" max="15" width="11.86328125" style="36" customWidth="1"/>
    <col min="16" max="17" width="9.1328125" style="36" customWidth="1"/>
    <col min="18" max="18" width="10.53125" style="36" customWidth="1"/>
    <col min="19" max="19" width="9.1328125" style="36" customWidth="1"/>
    <col min="20" max="16384" width="9.1328125" style="36"/>
  </cols>
  <sheetData>
    <row r="2" spans="2:41" x14ac:dyDescent="0.45">
      <c r="B2" s="37" t="s">
        <v>0</v>
      </c>
      <c r="C2" s="38"/>
      <c r="D2" s="39" t="s">
        <v>1</v>
      </c>
      <c r="F2" s="133" t="s">
        <v>2</v>
      </c>
      <c r="G2" s="134"/>
    </row>
    <row r="3" spans="2:41" x14ac:dyDescent="0.45">
      <c r="B3" s="37" t="s">
        <v>3</v>
      </c>
      <c r="C3" s="38"/>
      <c r="D3" s="40">
        <v>0</v>
      </c>
      <c r="F3" s="41"/>
      <c r="G3" s="42" t="s">
        <v>4</v>
      </c>
    </row>
    <row r="4" spans="2:41" x14ac:dyDescent="0.45">
      <c r="B4" s="43" t="s">
        <v>5</v>
      </c>
      <c r="C4" s="38"/>
      <c r="D4" s="40">
        <v>30</v>
      </c>
      <c r="F4" s="44"/>
      <c r="G4" s="45" t="s">
        <v>6</v>
      </c>
    </row>
    <row r="5" spans="2:41" x14ac:dyDescent="0.45">
      <c r="B5" s="37" t="s">
        <v>7</v>
      </c>
      <c r="C5" s="38"/>
      <c r="D5" s="46">
        <v>50000</v>
      </c>
      <c r="F5" s="47"/>
      <c r="G5" s="48" t="s">
        <v>8</v>
      </c>
    </row>
    <row r="6" spans="2:41" ht="28.5" x14ac:dyDescent="0.45">
      <c r="B6" s="43" t="s">
        <v>9</v>
      </c>
      <c r="C6" s="49"/>
      <c r="D6" s="104">
        <f>D3*D4</f>
        <v>0</v>
      </c>
      <c r="F6" s="50"/>
      <c r="G6" s="51" t="s">
        <v>10</v>
      </c>
    </row>
    <row r="7" spans="2:41" x14ac:dyDescent="0.45">
      <c r="B7" s="37" t="s">
        <v>11</v>
      </c>
      <c r="C7" s="38"/>
      <c r="D7" s="52" t="s">
        <v>12</v>
      </c>
    </row>
    <row r="8" spans="2:41" ht="17.25" customHeight="1" x14ac:dyDescent="0.45">
      <c r="B8" s="37" t="s">
        <v>13</v>
      </c>
      <c r="C8" s="53" t="s">
        <v>14</v>
      </c>
      <c r="D8" s="124">
        <f>VLOOKUP(D2,F13:N24,5,FALSE)</f>
        <v>9</v>
      </c>
      <c r="AF8" s="36" t="s">
        <v>15</v>
      </c>
      <c r="AH8" s="36" t="s">
        <v>16</v>
      </c>
      <c r="AK8" s="36" t="s">
        <v>17</v>
      </c>
      <c r="AO8" s="36" t="s">
        <v>18</v>
      </c>
    </row>
    <row r="9" spans="2:41" x14ac:dyDescent="0.45">
      <c r="B9" s="37" t="s">
        <v>19</v>
      </c>
      <c r="C9" s="54" t="s">
        <v>20</v>
      </c>
      <c r="D9" s="39" t="s">
        <v>21</v>
      </c>
      <c r="AF9" s="36" t="s">
        <v>17</v>
      </c>
      <c r="AH9" s="36" t="s">
        <v>22</v>
      </c>
      <c r="AI9" s="105">
        <v>20000</v>
      </c>
      <c r="AK9" s="36" t="s">
        <v>22</v>
      </c>
      <c r="AL9" s="105">
        <v>50000</v>
      </c>
      <c r="AO9" s="36" t="s">
        <v>23</v>
      </c>
    </row>
    <row r="10" spans="2:41" x14ac:dyDescent="0.45">
      <c r="B10" s="37" t="s">
        <v>24</v>
      </c>
      <c r="C10" s="54" t="s">
        <v>25</v>
      </c>
      <c r="D10" s="55">
        <v>0</v>
      </c>
      <c r="AF10" s="36" t="s">
        <v>26</v>
      </c>
      <c r="AH10" s="36" t="s">
        <v>27</v>
      </c>
      <c r="AI10" s="105">
        <v>50000</v>
      </c>
      <c r="AK10" s="36" t="s">
        <v>27</v>
      </c>
      <c r="AL10" s="105">
        <v>100000</v>
      </c>
      <c r="AO10" s="36" t="s">
        <v>26</v>
      </c>
    </row>
    <row r="11" spans="2:41" ht="14.65" thickBot="1" x14ac:dyDescent="0.5">
      <c r="B11" s="37" t="s">
        <v>28</v>
      </c>
      <c r="C11" s="54" t="s">
        <v>29</v>
      </c>
      <c r="D11" s="56">
        <v>0.3</v>
      </c>
      <c r="E11" s="57"/>
      <c r="AH11" s="36" t="s">
        <v>30</v>
      </c>
      <c r="AI11" s="105">
        <v>80000</v>
      </c>
      <c r="AK11" s="36" t="s">
        <v>30</v>
      </c>
      <c r="AL11" s="105">
        <v>130000</v>
      </c>
    </row>
    <row r="12" spans="2:41" s="58" customFormat="1" ht="34.5" customHeight="1" thickBot="1" x14ac:dyDescent="0.5">
      <c r="B12" s="37" t="s">
        <v>31</v>
      </c>
      <c r="C12" s="54" t="s">
        <v>119</v>
      </c>
      <c r="D12" s="123">
        <f>D8*D6*VLOOKUP(D2,F14:G24,2,FALSE)*365</f>
        <v>0</v>
      </c>
    </row>
    <row r="13" spans="2:41" ht="19.25" customHeight="1" thickBot="1" x14ac:dyDescent="0.5">
      <c r="B13" s="60"/>
      <c r="C13" s="60"/>
      <c r="D13" s="60"/>
      <c r="E13" s="57"/>
      <c r="F13" s="125" t="s">
        <v>32</v>
      </c>
      <c r="G13" s="126" t="s">
        <v>33</v>
      </c>
      <c r="H13" s="62" t="s">
        <v>34</v>
      </c>
      <c r="I13" s="63" t="s">
        <v>35</v>
      </c>
      <c r="J13" s="63" t="s">
        <v>36</v>
      </c>
      <c r="K13" s="63" t="s">
        <v>37</v>
      </c>
      <c r="L13" s="63" t="s">
        <v>38</v>
      </c>
      <c r="M13" s="63" t="s">
        <v>39</v>
      </c>
      <c r="N13" s="63"/>
      <c r="AH13" s="36" t="s">
        <v>22</v>
      </c>
      <c r="AI13" s="36" t="s">
        <v>40</v>
      </c>
      <c r="AK13" s="36" t="s">
        <v>41</v>
      </c>
      <c r="AM13" s="36" t="s">
        <v>17</v>
      </c>
      <c r="AO13" s="36" t="s">
        <v>16</v>
      </c>
    </row>
    <row r="14" spans="2:41" ht="21.5" customHeight="1" x14ac:dyDescent="0.45">
      <c r="B14" s="133" t="s">
        <v>42</v>
      </c>
      <c r="C14" s="135"/>
      <c r="D14" s="134"/>
      <c r="E14" s="57"/>
      <c r="F14" s="127" t="s">
        <v>43</v>
      </c>
      <c r="G14" s="64">
        <v>0.27</v>
      </c>
      <c r="H14" s="65">
        <v>0.43099999999999999</v>
      </c>
      <c r="I14" s="66">
        <f>H14*24</f>
        <v>10.343999999999999</v>
      </c>
      <c r="J14" s="36">
        <f t="shared" ref="J14:J24" si="0">ROUNDUP(M14/G14,0)</f>
        <v>20</v>
      </c>
      <c r="K14" s="67">
        <v>0.26</v>
      </c>
      <c r="L14" s="68">
        <v>312</v>
      </c>
      <c r="M14" s="36">
        <f t="shared" ref="M14:M24" si="1">I14/2</f>
        <v>5.1719999999999997</v>
      </c>
      <c r="AH14" s="36" t="s">
        <v>27</v>
      </c>
      <c r="AI14" s="36" t="s">
        <v>44</v>
      </c>
      <c r="AK14" s="36" t="s">
        <v>17</v>
      </c>
      <c r="AM14" s="36">
        <v>5000</v>
      </c>
      <c r="AN14" s="36">
        <v>7500</v>
      </c>
      <c r="AO14" s="36">
        <v>0</v>
      </c>
    </row>
    <row r="15" spans="2:41" x14ac:dyDescent="0.45">
      <c r="B15" s="69" t="s">
        <v>45</v>
      </c>
      <c r="C15" s="69" t="s">
        <v>46</v>
      </c>
      <c r="D15" s="69" t="s">
        <v>47</v>
      </c>
      <c r="E15" s="57"/>
      <c r="F15" s="127" t="s">
        <v>48</v>
      </c>
      <c r="G15" s="70">
        <v>0.27</v>
      </c>
      <c r="H15" s="65">
        <v>0.20200000000000001</v>
      </c>
      <c r="I15" s="66">
        <f t="shared" ref="I15:I24" si="2">H15*24</f>
        <v>4.8480000000000008</v>
      </c>
      <c r="J15" s="36">
        <f t="shared" si="0"/>
        <v>9</v>
      </c>
      <c r="K15" s="67">
        <v>0.121</v>
      </c>
      <c r="L15" s="68">
        <v>145.19999999999999</v>
      </c>
      <c r="M15" s="36">
        <f t="shared" si="1"/>
        <v>2.4240000000000004</v>
      </c>
      <c r="AH15" s="36" t="s">
        <v>30</v>
      </c>
      <c r="AI15" s="36" t="s">
        <v>49</v>
      </c>
      <c r="AK15" s="36" t="s">
        <v>26</v>
      </c>
      <c r="AM15" s="106">
        <v>10000</v>
      </c>
      <c r="AN15" s="36">
        <v>15000</v>
      </c>
    </row>
    <row r="16" spans="2:41" x14ac:dyDescent="0.45">
      <c r="B16" s="71" t="s">
        <v>50</v>
      </c>
      <c r="C16" s="71"/>
      <c r="D16" s="72"/>
      <c r="E16" s="57"/>
      <c r="F16" s="127" t="s">
        <v>51</v>
      </c>
      <c r="G16" s="70">
        <v>0.27</v>
      </c>
      <c r="H16" s="65">
        <v>0.17</v>
      </c>
      <c r="I16" s="66">
        <f t="shared" si="2"/>
        <v>4.08</v>
      </c>
      <c r="J16" s="36">
        <f t="shared" si="0"/>
        <v>8</v>
      </c>
      <c r="K16" s="67">
        <v>0.09</v>
      </c>
      <c r="L16" s="68">
        <v>108</v>
      </c>
      <c r="M16" s="36">
        <f t="shared" si="1"/>
        <v>2.04</v>
      </c>
    </row>
    <row r="17" spans="2:37" x14ac:dyDescent="0.45">
      <c r="B17" s="73" t="s">
        <v>52</v>
      </c>
      <c r="C17" s="54" t="s">
        <v>53</v>
      </c>
      <c r="D17" s="90">
        <f>IF(D7=B50,D6*C64*12,IF(D7=B51,D6*C69*12,0))</f>
        <v>0</v>
      </c>
      <c r="E17" s="74"/>
      <c r="F17" s="127" t="s">
        <v>1</v>
      </c>
      <c r="G17" s="70">
        <v>0.27</v>
      </c>
      <c r="H17" s="65">
        <v>0.2</v>
      </c>
      <c r="I17" s="66">
        <f t="shared" si="2"/>
        <v>4.8000000000000007</v>
      </c>
      <c r="J17" s="36">
        <f t="shared" si="0"/>
        <v>9</v>
      </c>
      <c r="K17" s="67">
        <v>0.12</v>
      </c>
      <c r="L17" s="68">
        <v>144</v>
      </c>
      <c r="M17" s="36">
        <f t="shared" si="1"/>
        <v>2.4000000000000004</v>
      </c>
    </row>
    <row r="18" spans="2:37" x14ac:dyDescent="0.45">
      <c r="B18" s="73" t="s">
        <v>54</v>
      </c>
      <c r="C18" s="54" t="s">
        <v>53</v>
      </c>
      <c r="D18" s="90">
        <f>IF(D7=B49,D12*C49,IF(D7=B50,D12*C65,IF(D7=B51,D12*C70,0)))</f>
        <v>0</v>
      </c>
      <c r="E18" s="74"/>
      <c r="F18" s="127" t="s">
        <v>55</v>
      </c>
      <c r="G18" s="70">
        <v>0.45</v>
      </c>
      <c r="H18" s="65">
        <v>0.12</v>
      </c>
      <c r="I18" s="66">
        <f t="shared" si="2"/>
        <v>2.88</v>
      </c>
      <c r="J18" s="36">
        <f t="shared" si="0"/>
        <v>4</v>
      </c>
      <c r="K18" s="67">
        <v>0.08</v>
      </c>
      <c r="L18" s="68">
        <v>96</v>
      </c>
      <c r="M18" s="36">
        <f t="shared" si="1"/>
        <v>1.44</v>
      </c>
      <c r="AK18" s="36" t="s">
        <v>56</v>
      </c>
    </row>
    <row r="19" spans="2:37" x14ac:dyDescent="0.45">
      <c r="B19" s="73" t="s">
        <v>57</v>
      </c>
      <c r="C19" s="54" t="s">
        <v>58</v>
      </c>
      <c r="D19" s="90">
        <f>VLOOKUP(D7,B45:E51,4,FALSE)</f>
        <v>131.69200000000001</v>
      </c>
      <c r="E19" s="57"/>
      <c r="F19" s="127" t="s">
        <v>59</v>
      </c>
      <c r="G19" s="70">
        <v>0.45</v>
      </c>
      <c r="H19" s="65">
        <v>0.03</v>
      </c>
      <c r="I19" s="66">
        <f t="shared" si="2"/>
        <v>0.72</v>
      </c>
      <c r="J19" s="36">
        <f t="shared" si="0"/>
        <v>1</v>
      </c>
      <c r="K19" s="67">
        <v>0.02</v>
      </c>
      <c r="L19" s="68">
        <v>24</v>
      </c>
      <c r="M19" s="36">
        <f t="shared" si="1"/>
        <v>0.36</v>
      </c>
      <c r="AK19" s="36" t="s">
        <v>17</v>
      </c>
    </row>
    <row r="20" spans="2:37" x14ac:dyDescent="0.45">
      <c r="B20" s="75"/>
      <c r="C20" s="76" t="s">
        <v>60</v>
      </c>
      <c r="D20" s="77">
        <f>SUM(D17:D19)</f>
        <v>131.69200000000001</v>
      </c>
      <c r="E20" s="78"/>
      <c r="F20" s="127" t="s">
        <v>61</v>
      </c>
      <c r="G20" s="70">
        <v>0.45</v>
      </c>
      <c r="H20" s="65">
        <v>7.4999999999999997E-2</v>
      </c>
      <c r="I20" s="66">
        <f t="shared" si="2"/>
        <v>1.7999999999999998</v>
      </c>
      <c r="J20" s="36">
        <f t="shared" si="0"/>
        <v>2</v>
      </c>
      <c r="K20" s="67">
        <v>4.8000000000000001E-2</v>
      </c>
      <c r="L20" s="68">
        <v>57.6</v>
      </c>
      <c r="M20" s="36">
        <f t="shared" si="1"/>
        <v>0.89999999999999991</v>
      </c>
      <c r="AG20" s="57"/>
      <c r="AK20" s="36" t="s">
        <v>26</v>
      </c>
    </row>
    <row r="21" spans="2:37" x14ac:dyDescent="0.45">
      <c r="B21" s="71" t="s">
        <v>62</v>
      </c>
      <c r="C21" s="71"/>
      <c r="D21" s="79"/>
      <c r="F21" s="127" t="s">
        <v>63</v>
      </c>
      <c r="G21" s="70">
        <v>0.55000000000000004</v>
      </c>
      <c r="H21" s="65">
        <v>3.5999999999999997E-2</v>
      </c>
      <c r="I21" s="66">
        <f t="shared" si="2"/>
        <v>0.86399999999999988</v>
      </c>
      <c r="J21" s="36">
        <f t="shared" si="0"/>
        <v>1</v>
      </c>
      <c r="K21" s="67">
        <v>2.1000000000000001E-2</v>
      </c>
      <c r="L21" s="68">
        <v>25.2</v>
      </c>
      <c r="M21" s="36">
        <f t="shared" si="1"/>
        <v>0.43199999999999994</v>
      </c>
    </row>
    <row r="22" spans="2:37" ht="39" x14ac:dyDescent="0.45">
      <c r="B22" s="73" t="s">
        <v>64</v>
      </c>
      <c r="C22" s="80"/>
      <c r="D22" s="81">
        <f>1500*D3</f>
        <v>0</v>
      </c>
      <c r="F22" s="127" t="s">
        <v>65</v>
      </c>
      <c r="G22" s="70">
        <v>0.55000000000000004</v>
      </c>
      <c r="H22" s="65">
        <v>3.5999999999999997E-2</v>
      </c>
      <c r="I22" s="66">
        <f t="shared" si="2"/>
        <v>0.86399999999999988</v>
      </c>
      <c r="J22" s="36">
        <f t="shared" si="0"/>
        <v>1</v>
      </c>
      <c r="K22" s="67">
        <v>2.1000000000000001E-2</v>
      </c>
      <c r="L22" s="68">
        <v>25.2</v>
      </c>
      <c r="M22" s="36">
        <f t="shared" si="1"/>
        <v>0.43199999999999994</v>
      </c>
    </row>
    <row r="23" spans="2:37" x14ac:dyDescent="0.45">
      <c r="B23" s="73" t="s">
        <v>66</v>
      </c>
      <c r="C23" s="54" t="s">
        <v>67</v>
      </c>
      <c r="D23" s="81">
        <f>((D5/3)/5)*D3</f>
        <v>0</v>
      </c>
      <c r="F23" s="127" t="s">
        <v>68</v>
      </c>
      <c r="G23" s="70">
        <v>0.55000000000000004</v>
      </c>
      <c r="H23" s="65">
        <v>1.4999999999999999E-2</v>
      </c>
      <c r="I23" s="66">
        <f t="shared" si="2"/>
        <v>0.36</v>
      </c>
      <c r="J23" s="36">
        <f t="shared" si="0"/>
        <v>1</v>
      </c>
      <c r="K23" s="67">
        <v>0.01</v>
      </c>
      <c r="L23" s="68">
        <v>12</v>
      </c>
      <c r="M23" s="36">
        <f t="shared" si="1"/>
        <v>0.18</v>
      </c>
    </row>
    <row r="24" spans="2:37" x14ac:dyDescent="0.45">
      <c r="B24" s="73" t="s">
        <v>69</v>
      </c>
      <c r="C24" s="54" t="s">
        <v>70</v>
      </c>
      <c r="D24" s="81">
        <f>3500*D3</f>
        <v>0</v>
      </c>
      <c r="F24" s="128" t="s">
        <v>71</v>
      </c>
      <c r="G24" s="82">
        <v>0.55000000000000004</v>
      </c>
      <c r="H24" s="65">
        <v>1.4999999999999999E-2</v>
      </c>
      <c r="I24" s="66">
        <f t="shared" si="2"/>
        <v>0.36</v>
      </c>
      <c r="J24" s="36">
        <f t="shared" si="0"/>
        <v>1</v>
      </c>
      <c r="K24" s="67">
        <v>0.01</v>
      </c>
      <c r="L24" s="68">
        <v>12</v>
      </c>
      <c r="M24" s="36">
        <f t="shared" si="1"/>
        <v>0.18</v>
      </c>
    </row>
    <row r="25" spans="2:37" ht="14.65" thickBot="1" x14ac:dyDescent="0.5">
      <c r="B25" s="73" t="s">
        <v>72</v>
      </c>
      <c r="C25" s="54" t="s">
        <v>73</v>
      </c>
      <c r="D25" s="81">
        <f>1000*D3</f>
        <v>0</v>
      </c>
      <c r="F25" s="129"/>
      <c r="G25" s="129"/>
    </row>
    <row r="26" spans="2:37" ht="14.65" thickBot="1" x14ac:dyDescent="0.5">
      <c r="B26" s="75"/>
      <c r="C26" s="76" t="s">
        <v>74</v>
      </c>
      <c r="D26" s="77">
        <f>SUM(D22:D25)</f>
        <v>0</v>
      </c>
      <c r="F26" s="125" t="s">
        <v>75</v>
      </c>
      <c r="G26" s="122" t="s">
        <v>76</v>
      </c>
    </row>
    <row r="27" spans="2:37" ht="14.65" thickBot="1" x14ac:dyDescent="0.5">
      <c r="B27" s="71" t="s">
        <v>77</v>
      </c>
      <c r="C27" s="71"/>
      <c r="D27" s="72"/>
      <c r="F27" s="136" t="s">
        <v>126</v>
      </c>
      <c r="G27" s="137"/>
    </row>
    <row r="28" spans="2:37" x14ac:dyDescent="0.45">
      <c r="B28" s="73" t="s">
        <v>78</v>
      </c>
      <c r="C28" s="54" t="s">
        <v>79</v>
      </c>
      <c r="D28" s="81">
        <f>D3*1500+D40*0.15</f>
        <v>2394.7649999999999</v>
      </c>
      <c r="E28" s="57"/>
      <c r="F28" s="99" t="s">
        <v>22</v>
      </c>
      <c r="G28" s="100">
        <v>20000</v>
      </c>
    </row>
    <row r="29" spans="2:37" x14ac:dyDescent="0.45">
      <c r="B29" s="73" t="s">
        <v>80</v>
      </c>
      <c r="C29" s="54" t="s">
        <v>79</v>
      </c>
      <c r="D29" s="81">
        <v>500</v>
      </c>
      <c r="E29" s="57"/>
      <c r="F29" s="99" t="s">
        <v>27</v>
      </c>
      <c r="G29" s="100">
        <v>50000</v>
      </c>
    </row>
    <row r="30" spans="2:37" x14ac:dyDescent="0.45">
      <c r="B30" s="73" t="s">
        <v>81</v>
      </c>
      <c r="C30" s="54" t="s">
        <v>82</v>
      </c>
      <c r="D30" s="81">
        <v>500</v>
      </c>
      <c r="E30" s="57"/>
      <c r="F30" s="99" t="s">
        <v>30</v>
      </c>
      <c r="G30" s="100">
        <v>80000</v>
      </c>
    </row>
    <row r="31" spans="2:37" x14ac:dyDescent="0.45">
      <c r="B31" s="73" t="s">
        <v>83</v>
      </c>
      <c r="C31" s="54"/>
      <c r="D31" s="81">
        <v>500</v>
      </c>
      <c r="E31" s="57"/>
      <c r="F31" s="99"/>
      <c r="G31" s="101"/>
    </row>
    <row r="32" spans="2:37" x14ac:dyDescent="0.45">
      <c r="B32" s="75"/>
      <c r="C32" s="76" t="s">
        <v>74</v>
      </c>
      <c r="D32" s="77">
        <f>SUM(D28:D31)</f>
        <v>3894.7649999999999</v>
      </c>
      <c r="E32" s="57"/>
      <c r="F32" s="130" t="s">
        <v>85</v>
      </c>
      <c r="G32" s="100">
        <v>5000</v>
      </c>
    </row>
    <row r="33" spans="2:15" ht="14.65" thickBot="1" x14ac:dyDescent="0.5">
      <c r="B33" s="83"/>
      <c r="C33" s="84"/>
      <c r="D33" s="85"/>
      <c r="E33" s="57"/>
      <c r="F33" s="99"/>
      <c r="G33" s="101"/>
    </row>
    <row r="34" spans="2:15" ht="15.75" thickBot="1" x14ac:dyDescent="0.5">
      <c r="B34" s="86" t="s">
        <v>84</v>
      </c>
      <c r="C34" s="86"/>
      <c r="D34" s="87">
        <f>SUM(D20,D26,D32)</f>
        <v>4026.4569999999999</v>
      </c>
      <c r="E34" s="57"/>
      <c r="F34" s="136" t="s">
        <v>127</v>
      </c>
      <c r="G34" s="137"/>
    </row>
    <row r="35" spans="2:15" ht="14.65" thickBot="1" x14ac:dyDescent="0.5">
      <c r="E35" s="57"/>
      <c r="F35" s="99" t="s">
        <v>22</v>
      </c>
      <c r="G35" s="100">
        <v>50000</v>
      </c>
      <c r="H35" s="95"/>
      <c r="I35" s="95"/>
      <c r="J35" s="95"/>
      <c r="K35" s="95"/>
      <c r="L35" s="95"/>
      <c r="M35" s="95"/>
      <c r="N35" s="95"/>
      <c r="O35" s="95"/>
    </row>
    <row r="36" spans="2:15" ht="14.65" thickBot="1" x14ac:dyDescent="0.5">
      <c r="B36" s="133" t="s">
        <v>86</v>
      </c>
      <c r="C36" s="135"/>
      <c r="D36" s="134"/>
      <c r="E36" s="57"/>
      <c r="F36" s="99" t="s">
        <v>27</v>
      </c>
      <c r="G36" s="100">
        <v>100000</v>
      </c>
      <c r="H36" s="95"/>
      <c r="I36" s="95"/>
      <c r="J36" s="95"/>
      <c r="K36" s="95"/>
      <c r="L36" s="95"/>
      <c r="M36" s="95"/>
      <c r="N36" s="95"/>
      <c r="O36" s="95"/>
    </row>
    <row r="37" spans="2:15" x14ac:dyDescent="0.45">
      <c r="B37" s="88" t="s">
        <v>87</v>
      </c>
      <c r="C37" s="88" t="s">
        <v>46</v>
      </c>
      <c r="D37" s="88" t="s">
        <v>88</v>
      </c>
      <c r="E37" s="57"/>
      <c r="F37" s="99" t="s">
        <v>30</v>
      </c>
      <c r="G37" s="100">
        <v>130000</v>
      </c>
      <c r="H37" s="95"/>
      <c r="I37" s="95"/>
      <c r="J37" s="95"/>
      <c r="K37" s="95"/>
      <c r="L37" s="95"/>
      <c r="M37" s="95"/>
      <c r="N37" s="95"/>
      <c r="O37" s="95"/>
    </row>
    <row r="38" spans="2:15" x14ac:dyDescent="0.45">
      <c r="B38" s="71" t="s">
        <v>89</v>
      </c>
      <c r="C38" s="54"/>
      <c r="D38" s="92">
        <v>0</v>
      </c>
      <c r="E38" s="57"/>
      <c r="F38" s="99"/>
      <c r="G38" s="101"/>
      <c r="H38" s="95"/>
      <c r="I38" s="95"/>
      <c r="J38" s="95"/>
      <c r="K38" s="95"/>
      <c r="L38" s="95"/>
      <c r="M38" s="95"/>
      <c r="N38" s="95"/>
      <c r="O38" s="95"/>
    </row>
    <row r="39" spans="2:15" ht="14.65" thickBot="1" x14ac:dyDescent="0.5">
      <c r="B39" s="71" t="s">
        <v>90</v>
      </c>
      <c r="C39" s="54"/>
      <c r="D39" s="90">
        <f>IF(D9=D52,0,IF(D9=D53,0,D8*D11*VLOOKUP(D2,F14:G24,2,FALSE)*60*365))</f>
        <v>15965.1</v>
      </c>
      <c r="E39" s="57"/>
      <c r="F39" s="102" t="s">
        <v>85</v>
      </c>
      <c r="G39" s="103">
        <v>7500</v>
      </c>
      <c r="H39" s="95"/>
      <c r="I39" s="95"/>
      <c r="J39" s="95"/>
      <c r="K39" s="95"/>
      <c r="L39" s="95"/>
      <c r="M39" s="95"/>
      <c r="N39" s="95"/>
      <c r="O39" s="95"/>
    </row>
    <row r="40" spans="2:15" x14ac:dyDescent="0.45">
      <c r="C40" s="76" t="s">
        <v>74</v>
      </c>
      <c r="D40" s="77">
        <f>SUM(D38:D39)</f>
        <v>15965.1</v>
      </c>
      <c r="E40" s="57"/>
      <c r="F40" s="96"/>
      <c r="G40" s="96"/>
      <c r="H40" s="95"/>
      <c r="I40" s="95"/>
      <c r="J40" s="95"/>
      <c r="K40" s="95"/>
      <c r="L40" s="95"/>
      <c r="M40" s="95"/>
      <c r="N40" s="95"/>
      <c r="O40" s="95"/>
    </row>
    <row r="41" spans="2:15" ht="15.4" x14ac:dyDescent="0.45">
      <c r="B41" s="89" t="s">
        <v>91</v>
      </c>
      <c r="C41" s="89"/>
      <c r="D41" s="107">
        <f>D40</f>
        <v>15965.1</v>
      </c>
      <c r="E41" s="57"/>
      <c r="F41" s="57"/>
      <c r="G41" s="57"/>
    </row>
    <row r="42" spans="2:15" x14ac:dyDescent="0.45">
      <c r="E42" s="57"/>
      <c r="F42" s="57"/>
      <c r="G42" s="57"/>
    </row>
    <row r="43" spans="2:15" ht="24" thickTop="1" thickBot="1" x14ac:dyDescent="0.75">
      <c r="B43" s="108" t="s">
        <v>92</v>
      </c>
      <c r="C43" s="109"/>
      <c r="D43" s="110">
        <f>D41-D34</f>
        <v>11938.643</v>
      </c>
      <c r="E43" s="57"/>
      <c r="F43" s="57"/>
      <c r="G43" s="57"/>
    </row>
    <row r="44" spans="2:15" ht="16.5" hidden="1" x14ac:dyDescent="0.75">
      <c r="C44" s="111" t="s">
        <v>93</v>
      </c>
      <c r="D44" s="111" t="s">
        <v>94</v>
      </c>
      <c r="E44" s="112" t="s">
        <v>95</v>
      </c>
      <c r="F44" s="57"/>
      <c r="G44" s="57"/>
    </row>
    <row r="45" spans="2:15" hidden="1" x14ac:dyDescent="0.45">
      <c r="B45" s="113" t="s">
        <v>96</v>
      </c>
      <c r="C45" s="114">
        <v>0.12</v>
      </c>
      <c r="D45" s="114"/>
      <c r="E45" s="115">
        <f>46.46*365/60</f>
        <v>282.63166666666672</v>
      </c>
      <c r="F45" s="57"/>
      <c r="G45" s="57"/>
    </row>
    <row r="46" spans="2:15" hidden="1" x14ac:dyDescent="0.45">
      <c r="B46" s="83" t="s">
        <v>97</v>
      </c>
      <c r="C46" s="36">
        <v>0.21</v>
      </c>
      <c r="E46" s="116">
        <f>26.56*365/30</f>
        <v>323.14666666666665</v>
      </c>
      <c r="F46" s="57"/>
      <c r="G46" s="57"/>
    </row>
    <row r="47" spans="2:15" hidden="1" x14ac:dyDescent="0.45">
      <c r="B47" s="83" t="s">
        <v>98</v>
      </c>
      <c r="C47" s="36">
        <v>0.27</v>
      </c>
      <c r="E47" s="117">
        <f>26.56*365/30</f>
        <v>323.14666666666665</v>
      </c>
    </row>
    <row r="48" spans="2:15" hidden="1" x14ac:dyDescent="0.45">
      <c r="B48" s="83"/>
      <c r="E48" s="118"/>
    </row>
    <row r="49" spans="1:5" hidden="1" x14ac:dyDescent="0.45">
      <c r="A49" s="60"/>
      <c r="B49" s="83" t="s">
        <v>12</v>
      </c>
      <c r="C49" s="36">
        <v>0.12</v>
      </c>
      <c r="E49" s="116">
        <f>0.3608*365</f>
        <v>131.69200000000001</v>
      </c>
    </row>
    <row r="50" spans="1:5" hidden="1" x14ac:dyDescent="0.45">
      <c r="B50" s="83" t="s">
        <v>99</v>
      </c>
      <c r="C50" s="36">
        <v>9.6199999999999994E-2</v>
      </c>
      <c r="E50" s="116">
        <f>0.2656*365</f>
        <v>96.944000000000003</v>
      </c>
    </row>
    <row r="51" spans="1:5" hidden="1" x14ac:dyDescent="0.45">
      <c r="A51" s="36" t="s">
        <v>100</v>
      </c>
      <c r="B51" s="83" t="s">
        <v>101</v>
      </c>
      <c r="C51" s="36">
        <v>6.0199999999999997E-2</v>
      </c>
      <c r="D51" s="36">
        <v>7.4099999999999999E-2</v>
      </c>
      <c r="E51" s="116">
        <f>0.2656*365</f>
        <v>96.944000000000003</v>
      </c>
    </row>
    <row r="52" spans="1:5" hidden="1" x14ac:dyDescent="0.45">
      <c r="B52" s="113"/>
      <c r="C52" s="114"/>
      <c r="D52" s="114" t="s">
        <v>102</v>
      </c>
      <c r="E52" s="115"/>
    </row>
    <row r="53" spans="1:5" hidden="1" x14ac:dyDescent="0.45">
      <c r="B53" s="83"/>
      <c r="D53" s="36" t="s">
        <v>103</v>
      </c>
      <c r="E53" s="118"/>
    </row>
    <row r="54" spans="1:5" hidden="1" x14ac:dyDescent="0.45">
      <c r="B54" s="83"/>
      <c r="D54" s="36" t="s">
        <v>21</v>
      </c>
      <c r="E54" s="118"/>
    </row>
    <row r="55" spans="1:5" hidden="1" x14ac:dyDescent="0.45">
      <c r="B55" s="119"/>
      <c r="C55" s="120"/>
      <c r="D55" s="120" t="s">
        <v>104</v>
      </c>
      <c r="E55" s="121"/>
    </row>
    <row r="56" spans="1:5" hidden="1" x14ac:dyDescent="0.45"/>
    <row r="57" spans="1:5" hidden="1" x14ac:dyDescent="0.45">
      <c r="A57" s="60" t="s">
        <v>105</v>
      </c>
      <c r="C57" s="60" t="s">
        <v>106</v>
      </c>
    </row>
    <row r="58" spans="1:5" hidden="1" x14ac:dyDescent="0.45">
      <c r="B58" s="36" t="s">
        <v>107</v>
      </c>
      <c r="C58" s="36">
        <v>0.12</v>
      </c>
      <c r="D58" s="36" t="s">
        <v>108</v>
      </c>
    </row>
    <row r="59" spans="1:5" hidden="1" x14ac:dyDescent="0.45">
      <c r="B59" s="36" t="s">
        <v>109</v>
      </c>
      <c r="C59" s="36">
        <v>0.21</v>
      </c>
      <c r="D59" s="36" t="s">
        <v>108</v>
      </c>
    </row>
    <row r="60" spans="1:5" hidden="1" x14ac:dyDescent="0.45">
      <c r="B60" s="36" t="s">
        <v>110</v>
      </c>
      <c r="C60" s="36">
        <v>0.27</v>
      </c>
      <c r="D60" s="36" t="s">
        <v>108</v>
      </c>
    </row>
    <row r="61" spans="1:5" hidden="1" x14ac:dyDescent="0.45"/>
    <row r="62" spans="1:5" hidden="1" x14ac:dyDescent="0.45">
      <c r="B62" s="111" t="s">
        <v>111</v>
      </c>
    </row>
    <row r="63" spans="1:5" hidden="1" x14ac:dyDescent="0.45">
      <c r="B63" s="36" t="s">
        <v>95</v>
      </c>
      <c r="C63" s="36">
        <v>0.2656</v>
      </c>
      <c r="D63" s="36" t="s">
        <v>112</v>
      </c>
    </row>
    <row r="64" spans="1:5" hidden="1" x14ac:dyDescent="0.45">
      <c r="B64" s="36" t="s">
        <v>113</v>
      </c>
      <c r="C64" s="36">
        <v>5.38</v>
      </c>
      <c r="D64" s="36" t="s">
        <v>114</v>
      </c>
    </row>
    <row r="65" spans="2:6" hidden="1" x14ac:dyDescent="0.45">
      <c r="B65" s="36" t="s">
        <v>93</v>
      </c>
      <c r="C65" s="36">
        <v>9.6199999999999994E-2</v>
      </c>
      <c r="D65" s="36" t="s">
        <v>115</v>
      </c>
    </row>
    <row r="66" spans="2:6" hidden="1" x14ac:dyDescent="0.45"/>
    <row r="67" spans="2:6" hidden="1" x14ac:dyDescent="0.45">
      <c r="B67" s="111" t="s">
        <v>116</v>
      </c>
      <c r="E67" s="111" t="s">
        <v>117</v>
      </c>
    </row>
    <row r="68" spans="2:6" hidden="1" x14ac:dyDescent="0.45">
      <c r="B68" s="36" t="s">
        <v>95</v>
      </c>
      <c r="C68" s="36">
        <v>0.2656</v>
      </c>
      <c r="D68" s="36" t="s">
        <v>112</v>
      </c>
      <c r="E68" s="36">
        <v>0.2656</v>
      </c>
      <c r="F68" s="36" t="s">
        <v>112</v>
      </c>
    </row>
    <row r="69" spans="2:6" hidden="1" x14ac:dyDescent="0.45">
      <c r="B69" s="36" t="s">
        <v>113</v>
      </c>
      <c r="C69" s="36">
        <v>12.26</v>
      </c>
      <c r="D69" s="36" t="s">
        <v>114</v>
      </c>
      <c r="E69" s="36">
        <v>12.26</v>
      </c>
      <c r="F69" s="36" t="s">
        <v>114</v>
      </c>
    </row>
    <row r="70" spans="2:6" hidden="1" x14ac:dyDescent="0.45">
      <c r="B70" s="36" t="s">
        <v>93</v>
      </c>
      <c r="C70" s="36">
        <v>6.0199999999999997E-2</v>
      </c>
      <c r="D70" s="36" t="s">
        <v>115</v>
      </c>
      <c r="E70" s="36">
        <v>7.4099999999999999E-2</v>
      </c>
      <c r="F70" s="36" t="s">
        <v>115</v>
      </c>
    </row>
    <row r="71" spans="2:6" ht="14.65" thickTop="1" x14ac:dyDescent="0.45"/>
    <row r="108" s="36" customFormat="1" ht="24.75" customHeight="1" x14ac:dyDescent="0.45"/>
  </sheetData>
  <sheetProtection algorithmName="SHA-512" hashValue="mNjZGR/yFnTO/CwvampLm96fKdDU9LNEixJ2v6thxowB7rAuBqbT1K81jCOk3x8MOB/CqAvgh+CQefm5OKBMeQ==" saltValue="sTDswExMcY9QonF0vqTWDg==" spinCount="100000" sheet="1" formatCells="0" formatColumns="0" formatRows="0"/>
  <mergeCells count="5">
    <mergeCell ref="F2:G2"/>
    <mergeCell ref="B14:D14"/>
    <mergeCell ref="B36:D36"/>
    <mergeCell ref="F27:G27"/>
    <mergeCell ref="F34:G34"/>
  </mergeCells>
  <dataValidations disablePrompts="1" count="7">
    <dataValidation type="decimal" allowBlank="1" showInputMessage="1" showErrorMessage="1" sqref="D8" xr:uid="{00000000-0002-0000-0100-000000000000}">
      <formula1>0</formula1>
      <formula2>20</formula2>
    </dataValidation>
    <dataValidation type="decimal" allowBlank="1" showInputMessage="1" showErrorMessage="1" sqref="D5" xr:uid="{00000000-0002-0000-0100-000002000000}">
      <formula1>5000</formula1>
      <formula2>250000</formula2>
    </dataValidation>
    <dataValidation type="list" allowBlank="1" showInputMessage="1" showErrorMessage="1" sqref="D2" xr:uid="{00000000-0002-0000-0100-000003000000}">
      <formula1>$F$14:$F$24</formula1>
    </dataValidation>
    <dataValidation type="list" allowBlank="1" showInputMessage="1" showErrorMessage="1" sqref="D9" xr:uid="{00000000-0002-0000-0100-000005000000}">
      <formula1>$D$52:$D$55</formula1>
    </dataValidation>
    <dataValidation allowBlank="1" showInputMessage="1" showErrorMessage="1" sqref="D3" xr:uid="{00000000-0002-0000-0100-000001000000}"/>
    <dataValidation operator="equal" allowBlank="1" showInputMessage="1" showErrorMessage="1" sqref="D4" xr:uid="{6E53969B-BC78-4E84-84F0-E39376FA0CA6}"/>
    <dataValidation type="list" allowBlank="1" showInputMessage="1" showErrorMessage="1" sqref="D7" xr:uid="{00000000-0002-0000-0100-000004000000}">
      <formula1>IF(OR($D$2=$F$20,$D$2=$F$21),FortisBC,Hydro)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B2561-A5AE-463A-BBD5-1F703F21A941}">
  <dimension ref="A1:BQ125"/>
  <sheetViews>
    <sheetView topLeftCell="A20" zoomScale="55" zoomScaleNormal="55" workbookViewId="0">
      <selection activeCell="D11" sqref="D11"/>
    </sheetView>
  </sheetViews>
  <sheetFormatPr defaultRowHeight="14.25" x14ac:dyDescent="0.45"/>
  <cols>
    <col min="1" max="1" width="12.53125" customWidth="1"/>
    <col min="2" max="2" width="46.53125" customWidth="1"/>
    <col min="3" max="3" width="49.46484375" bestFit="1" customWidth="1"/>
    <col min="4" max="4" width="36" customWidth="1"/>
    <col min="5" max="5" width="22.19921875" customWidth="1"/>
    <col min="6" max="6" width="26.19921875" customWidth="1"/>
    <col min="7" max="7" width="45.46484375" customWidth="1"/>
    <col min="8" max="8" width="19.86328125" hidden="1" customWidth="1"/>
    <col min="9" max="9" width="10.46484375" hidden="1" customWidth="1"/>
    <col min="10" max="10" width="9.1328125" hidden="1" customWidth="1"/>
    <col min="11" max="11" width="21.86328125" hidden="1" customWidth="1"/>
    <col min="12" max="12" width="11.86328125" hidden="1" customWidth="1"/>
    <col min="13" max="13" width="9.1328125" hidden="1" customWidth="1"/>
    <col min="14" max="14" width="21.86328125" hidden="1" customWidth="1"/>
    <col min="15" max="15" width="11.86328125" customWidth="1"/>
    <col min="16" max="17" width="9.1328125" customWidth="1"/>
    <col min="18" max="18" width="10.53125" customWidth="1"/>
    <col min="19" max="19" width="9.1328125" customWidth="1"/>
  </cols>
  <sheetData>
    <row r="1" spans="2:69" ht="14.65" thickBot="1" x14ac:dyDescent="0.5"/>
    <row r="2" spans="2:69" ht="14.65" thickBot="1" x14ac:dyDescent="0.5">
      <c r="B2" s="37" t="s">
        <v>0</v>
      </c>
      <c r="C2" s="38"/>
      <c r="D2" s="39" t="s">
        <v>1</v>
      </c>
      <c r="E2" s="36"/>
      <c r="F2" s="133" t="s">
        <v>2</v>
      </c>
      <c r="G2" s="134"/>
      <c r="H2" s="36"/>
      <c r="I2" s="36"/>
      <c r="J2" s="36"/>
      <c r="K2" s="36"/>
      <c r="L2" s="36"/>
      <c r="M2" s="36"/>
      <c r="N2" s="36"/>
    </row>
    <row r="3" spans="2:69" ht="14.65" thickBot="1" x14ac:dyDescent="0.5">
      <c r="B3" s="37" t="s">
        <v>3</v>
      </c>
      <c r="C3" s="38"/>
      <c r="D3" s="40">
        <v>0</v>
      </c>
      <c r="E3" s="36"/>
      <c r="F3" s="41"/>
      <c r="G3" s="42" t="s">
        <v>4</v>
      </c>
      <c r="H3" s="36"/>
      <c r="I3" s="36"/>
      <c r="J3" s="36"/>
      <c r="K3" s="36"/>
      <c r="L3" s="36"/>
      <c r="M3" s="36"/>
      <c r="N3" s="36"/>
    </row>
    <row r="4" spans="2:69" ht="14.65" thickBot="1" x14ac:dyDescent="0.5">
      <c r="B4" s="43" t="s">
        <v>5</v>
      </c>
      <c r="C4" s="38"/>
      <c r="D4" s="40">
        <v>30</v>
      </c>
      <c r="E4" s="36"/>
      <c r="F4" s="44"/>
      <c r="G4" s="45" t="s">
        <v>6</v>
      </c>
      <c r="H4" s="36"/>
      <c r="I4" s="36"/>
      <c r="J4" s="36"/>
      <c r="K4" s="36"/>
      <c r="L4" s="36"/>
      <c r="M4" s="36"/>
      <c r="N4" s="36"/>
    </row>
    <row r="5" spans="2:69" x14ac:dyDescent="0.45">
      <c r="B5" s="37" t="s">
        <v>7</v>
      </c>
      <c r="C5" s="38"/>
      <c r="D5" s="46">
        <v>50000</v>
      </c>
      <c r="E5" s="36"/>
      <c r="F5" s="47"/>
      <c r="G5" s="48" t="s">
        <v>8</v>
      </c>
      <c r="H5" s="36"/>
      <c r="I5" s="36"/>
      <c r="J5" s="36"/>
      <c r="K5" s="36"/>
      <c r="L5" s="36"/>
      <c r="M5" s="36"/>
      <c r="N5" s="36"/>
    </row>
    <row r="6" spans="2:69" ht="28.5" x14ac:dyDescent="0.45">
      <c r="B6" s="43" t="s">
        <v>9</v>
      </c>
      <c r="C6" s="49"/>
      <c r="D6" s="104">
        <f>D3*D4</f>
        <v>0</v>
      </c>
      <c r="E6" s="36"/>
      <c r="F6" s="50"/>
      <c r="G6" s="51" t="s">
        <v>10</v>
      </c>
      <c r="H6" s="36"/>
      <c r="I6" s="36"/>
      <c r="J6" s="36"/>
      <c r="K6" s="36"/>
      <c r="L6" s="36"/>
      <c r="M6" s="36"/>
      <c r="N6" s="36"/>
    </row>
    <row r="7" spans="2:69" x14ac:dyDescent="0.45">
      <c r="B7" s="37" t="s">
        <v>11</v>
      </c>
      <c r="C7" s="38"/>
      <c r="D7" s="52" t="s">
        <v>118</v>
      </c>
      <c r="E7" s="36"/>
      <c r="F7" s="36"/>
      <c r="G7" s="36"/>
      <c r="H7" s="36"/>
      <c r="I7" s="36"/>
      <c r="J7" s="36"/>
      <c r="K7" s="36"/>
      <c r="L7" s="36"/>
      <c r="M7" s="36"/>
      <c r="N7" s="36"/>
    </row>
    <row r="8" spans="2:69" ht="17.25" customHeight="1" x14ac:dyDescent="0.45">
      <c r="B8" s="37" t="s">
        <v>13</v>
      </c>
      <c r="C8" s="53" t="s">
        <v>14</v>
      </c>
      <c r="D8" s="124">
        <f>VLOOKUP(D2,F13:N24,5,FALSE)</f>
        <v>9</v>
      </c>
      <c r="E8" s="36"/>
      <c r="F8" s="36"/>
      <c r="G8" s="36"/>
      <c r="H8" s="36"/>
      <c r="I8" s="36"/>
      <c r="J8" s="36"/>
      <c r="K8" s="36"/>
      <c r="L8" s="36"/>
      <c r="M8" s="36"/>
      <c r="N8" s="36"/>
      <c r="BH8" t="s">
        <v>15</v>
      </c>
      <c r="BJ8" t="s">
        <v>16</v>
      </c>
      <c r="BM8" t="s">
        <v>17</v>
      </c>
      <c r="BQ8" t="s">
        <v>18</v>
      </c>
    </row>
    <row r="9" spans="2:69" x14ac:dyDescent="0.45">
      <c r="B9" s="37" t="s">
        <v>19</v>
      </c>
      <c r="C9" s="54" t="s">
        <v>20</v>
      </c>
      <c r="D9" s="39" t="s">
        <v>21</v>
      </c>
      <c r="E9" s="36"/>
      <c r="F9" s="36"/>
      <c r="G9" s="36"/>
      <c r="H9" s="36"/>
      <c r="I9" s="36"/>
      <c r="J9" s="36"/>
      <c r="K9" s="36"/>
      <c r="L9" s="36"/>
      <c r="M9" s="36"/>
      <c r="N9" s="36"/>
      <c r="BH9" t="s">
        <v>17</v>
      </c>
      <c r="BJ9" t="s">
        <v>22</v>
      </c>
      <c r="BK9" s="27">
        <v>20000</v>
      </c>
      <c r="BM9" t="s">
        <v>22</v>
      </c>
      <c r="BN9" s="27">
        <v>50000</v>
      </c>
      <c r="BQ9" t="s">
        <v>23</v>
      </c>
    </row>
    <row r="10" spans="2:69" x14ac:dyDescent="0.45">
      <c r="B10" s="37" t="s">
        <v>24</v>
      </c>
      <c r="C10" s="54" t="s">
        <v>25</v>
      </c>
      <c r="D10" s="55">
        <v>0</v>
      </c>
      <c r="E10" s="58"/>
      <c r="F10" s="36"/>
      <c r="G10" s="36"/>
      <c r="H10" s="36"/>
      <c r="I10" s="36"/>
      <c r="J10" s="36"/>
      <c r="K10" s="36"/>
      <c r="L10" s="36"/>
      <c r="M10" s="36"/>
      <c r="N10" s="36"/>
      <c r="BH10" t="s">
        <v>26</v>
      </c>
      <c r="BJ10" t="s">
        <v>27</v>
      </c>
      <c r="BK10" s="27">
        <v>50000</v>
      </c>
      <c r="BM10" t="s">
        <v>27</v>
      </c>
      <c r="BN10" s="27">
        <v>100000</v>
      </c>
      <c r="BQ10" t="s">
        <v>26</v>
      </c>
    </row>
    <row r="11" spans="2:69" x14ac:dyDescent="0.45">
      <c r="B11" s="37" t="s">
        <v>28</v>
      </c>
      <c r="C11" s="54" t="s">
        <v>29</v>
      </c>
      <c r="D11" s="56">
        <v>0.27</v>
      </c>
      <c r="E11" s="57"/>
      <c r="F11" s="36"/>
      <c r="G11" s="36"/>
      <c r="H11" s="36"/>
      <c r="I11" s="36"/>
      <c r="J11" s="36"/>
      <c r="K11" s="36"/>
      <c r="L11" s="36"/>
      <c r="M11" s="36"/>
      <c r="N11" s="36"/>
      <c r="BJ11" t="s">
        <v>30</v>
      </c>
      <c r="BK11" s="27">
        <v>80000</v>
      </c>
      <c r="BM11" t="s">
        <v>30</v>
      </c>
      <c r="BN11" s="27">
        <v>130000</v>
      </c>
    </row>
    <row r="12" spans="2:69" s="1" customFormat="1" ht="34.5" customHeight="1" x14ac:dyDescent="0.45">
      <c r="B12" s="37" t="s">
        <v>31</v>
      </c>
      <c r="C12" s="54" t="s">
        <v>119</v>
      </c>
      <c r="D12" s="123">
        <f>D8*D6*VLOOKUP(D2,F14:G24,2,FALSE)*365</f>
        <v>0</v>
      </c>
      <c r="E12" s="59"/>
      <c r="F12" s="58"/>
      <c r="G12" s="58"/>
      <c r="H12" s="58"/>
      <c r="I12" s="58"/>
      <c r="J12" s="58"/>
      <c r="K12" s="58"/>
      <c r="L12" s="58"/>
      <c r="M12" s="58"/>
      <c r="N12" s="58"/>
    </row>
    <row r="13" spans="2:69" ht="19.25" customHeight="1" x14ac:dyDescent="0.45">
      <c r="B13" s="60"/>
      <c r="C13" s="60"/>
      <c r="D13" s="60"/>
      <c r="E13" s="57"/>
      <c r="F13" s="125" t="s">
        <v>32</v>
      </c>
      <c r="G13" s="61" t="s">
        <v>33</v>
      </c>
      <c r="H13" s="62" t="s">
        <v>34</v>
      </c>
      <c r="I13" s="63" t="s">
        <v>35</v>
      </c>
      <c r="J13" s="63" t="s">
        <v>36</v>
      </c>
      <c r="K13" s="63" t="s">
        <v>37</v>
      </c>
      <c r="L13" s="63" t="s">
        <v>38</v>
      </c>
      <c r="M13" s="63" t="s">
        <v>39</v>
      </c>
      <c r="N13" s="36"/>
      <c r="BH13" s="32"/>
      <c r="BI13" s="32"/>
      <c r="BJ13" s="32"/>
      <c r="BK13" s="32"/>
      <c r="BL13" s="32"/>
      <c r="BM13" t="s">
        <v>41</v>
      </c>
      <c r="BO13" t="s">
        <v>17</v>
      </c>
      <c r="BQ13" t="s">
        <v>16</v>
      </c>
    </row>
    <row r="14" spans="2:69" ht="21.5" customHeight="1" x14ac:dyDescent="0.45">
      <c r="B14" s="133" t="s">
        <v>42</v>
      </c>
      <c r="C14" s="135"/>
      <c r="D14" s="134"/>
      <c r="E14" s="57"/>
      <c r="F14" s="127" t="s">
        <v>43</v>
      </c>
      <c r="G14" s="64">
        <v>0.27</v>
      </c>
      <c r="H14" s="65">
        <v>0.43099999999999999</v>
      </c>
      <c r="I14" s="66">
        <f>H14*24</f>
        <v>10.343999999999999</v>
      </c>
      <c r="J14" s="36">
        <f t="shared" ref="J14:J24" si="0">ROUNDUP(M14/G14,0)</f>
        <v>20</v>
      </c>
      <c r="K14" s="67">
        <v>0.26</v>
      </c>
      <c r="L14" s="68">
        <v>312</v>
      </c>
      <c r="M14" s="36">
        <f t="shared" ref="M14:M24" si="1">I14/2</f>
        <v>5.1719999999999997</v>
      </c>
      <c r="N14" s="36">
        <f>ROUNDUP(I14/G14,0)</f>
        <v>39</v>
      </c>
      <c r="BH14" s="35"/>
      <c r="BJ14" s="34"/>
      <c r="BK14" s="33"/>
      <c r="BM14" t="s">
        <v>17</v>
      </c>
      <c r="BO14">
        <v>5000</v>
      </c>
      <c r="BP14">
        <v>7500</v>
      </c>
      <c r="BQ14">
        <v>0</v>
      </c>
    </row>
    <row r="15" spans="2:69" x14ac:dyDescent="0.45">
      <c r="B15" s="69" t="s">
        <v>45</v>
      </c>
      <c r="C15" s="69" t="s">
        <v>46</v>
      </c>
      <c r="D15" s="69" t="s">
        <v>47</v>
      </c>
      <c r="E15" s="57"/>
      <c r="F15" s="127" t="s">
        <v>48</v>
      </c>
      <c r="G15" s="70">
        <v>0.27</v>
      </c>
      <c r="H15" s="65">
        <v>0.20200000000000001</v>
      </c>
      <c r="I15" s="66">
        <f t="shared" ref="I15:I24" si="2">H15*24</f>
        <v>4.8480000000000008</v>
      </c>
      <c r="J15" s="36">
        <f t="shared" si="0"/>
        <v>9</v>
      </c>
      <c r="K15" s="67">
        <v>0.121</v>
      </c>
      <c r="L15" s="68">
        <v>145.19999999999999</v>
      </c>
      <c r="M15" s="36">
        <f t="shared" si="1"/>
        <v>2.4240000000000004</v>
      </c>
      <c r="N15" s="36">
        <f t="shared" ref="N15:N24" si="3">ROUNDUP(I15/G15,0)</f>
        <v>18</v>
      </c>
      <c r="BH15" s="35"/>
      <c r="BJ15" s="34"/>
      <c r="BK15" s="33"/>
      <c r="BM15" t="s">
        <v>26</v>
      </c>
      <c r="BO15" s="28">
        <v>10000</v>
      </c>
      <c r="BP15">
        <v>15000</v>
      </c>
    </row>
    <row r="16" spans="2:69" x14ac:dyDescent="0.45">
      <c r="B16" s="71" t="s">
        <v>50</v>
      </c>
      <c r="C16" s="71"/>
      <c r="D16" s="72"/>
      <c r="E16" s="57"/>
      <c r="F16" s="127" t="s">
        <v>51</v>
      </c>
      <c r="G16" s="70">
        <v>0.27</v>
      </c>
      <c r="H16" s="65">
        <v>0.17</v>
      </c>
      <c r="I16" s="66">
        <f t="shared" si="2"/>
        <v>4.08</v>
      </c>
      <c r="J16" s="36">
        <f t="shared" si="0"/>
        <v>8</v>
      </c>
      <c r="K16" s="67">
        <v>0.09</v>
      </c>
      <c r="L16" s="68">
        <v>108</v>
      </c>
      <c r="M16" s="36">
        <f t="shared" si="1"/>
        <v>2.04</v>
      </c>
      <c r="N16" s="36">
        <f t="shared" si="3"/>
        <v>16</v>
      </c>
      <c r="BH16" s="35"/>
      <c r="BJ16" s="34"/>
      <c r="BK16" s="33"/>
    </row>
    <row r="17" spans="2:65" x14ac:dyDescent="0.45">
      <c r="B17" s="73" t="s">
        <v>52</v>
      </c>
      <c r="C17" s="54" t="s">
        <v>53</v>
      </c>
      <c r="D17" s="90">
        <f>IF(D7=B60,D6*C60*12,IF(D7=B61,D6*C61*12,0))</f>
        <v>0</v>
      </c>
      <c r="E17" s="98">
        <f>IF(D7=B50,D6*C81*12,IF(D7=B51,D6*C86*12,0))</f>
        <v>0</v>
      </c>
      <c r="F17" s="127" t="s">
        <v>1</v>
      </c>
      <c r="G17" s="70">
        <v>0.27</v>
      </c>
      <c r="H17" s="65">
        <v>0.2</v>
      </c>
      <c r="I17" s="66">
        <f t="shared" si="2"/>
        <v>4.8000000000000007</v>
      </c>
      <c r="J17" s="36">
        <f t="shared" si="0"/>
        <v>9</v>
      </c>
      <c r="K17" s="67">
        <v>0.12</v>
      </c>
      <c r="L17" s="68">
        <v>144</v>
      </c>
      <c r="M17" s="36">
        <f t="shared" si="1"/>
        <v>2.4000000000000004</v>
      </c>
      <c r="N17" s="36">
        <f t="shared" si="3"/>
        <v>18</v>
      </c>
      <c r="BH17" s="35"/>
      <c r="BJ17" s="34"/>
      <c r="BK17" s="33"/>
    </row>
    <row r="18" spans="2:65" x14ac:dyDescent="0.45">
      <c r="B18" s="73" t="s">
        <v>54</v>
      </c>
      <c r="C18" s="54" t="s">
        <v>53</v>
      </c>
      <c r="D18" s="90">
        <f>IF(D7=B60,D12*E60,IF(D7=B61,D12*E61))</f>
        <v>0</v>
      </c>
      <c r="E18" s="98">
        <f>IF(D7=B49,D12*C49,IF(D7=B50,D12*C82,IF(D7=B51,D12*C87,0)))</f>
        <v>0</v>
      </c>
      <c r="F18" s="127" t="s">
        <v>55</v>
      </c>
      <c r="G18" s="70">
        <v>0.45</v>
      </c>
      <c r="H18" s="65">
        <v>0.12</v>
      </c>
      <c r="I18" s="66">
        <f t="shared" si="2"/>
        <v>2.88</v>
      </c>
      <c r="J18" s="36">
        <f t="shared" si="0"/>
        <v>4</v>
      </c>
      <c r="K18" s="67">
        <v>0.08</v>
      </c>
      <c r="L18" s="68">
        <v>96</v>
      </c>
      <c r="M18" s="36">
        <f t="shared" si="1"/>
        <v>1.44</v>
      </c>
      <c r="N18" s="36">
        <f t="shared" si="3"/>
        <v>7</v>
      </c>
      <c r="BH18" s="35"/>
      <c r="BJ18" s="34"/>
      <c r="BK18" s="33"/>
      <c r="BM18" t="s">
        <v>56</v>
      </c>
    </row>
    <row r="19" spans="2:65" x14ac:dyDescent="0.45">
      <c r="B19" s="73" t="s">
        <v>57</v>
      </c>
      <c r="C19" s="54" t="s">
        <v>58</v>
      </c>
      <c r="D19" s="90">
        <f>IF(D7=B60,G60*6,IF(D7=B61,G61*12))</f>
        <v>301.02</v>
      </c>
      <c r="E19" s="57"/>
      <c r="F19" s="127" t="s">
        <v>59</v>
      </c>
      <c r="G19" s="70">
        <v>0.45</v>
      </c>
      <c r="H19" s="65">
        <v>0.03</v>
      </c>
      <c r="I19" s="66">
        <f t="shared" si="2"/>
        <v>0.72</v>
      </c>
      <c r="J19" s="36">
        <f t="shared" si="0"/>
        <v>1</v>
      </c>
      <c r="K19" s="67">
        <v>0.02</v>
      </c>
      <c r="L19" s="68">
        <v>24</v>
      </c>
      <c r="M19" s="36">
        <f t="shared" si="1"/>
        <v>0.36</v>
      </c>
      <c r="N19" s="36">
        <f t="shared" si="3"/>
        <v>2</v>
      </c>
      <c r="BH19" s="35"/>
      <c r="BJ19" s="34"/>
      <c r="BK19" s="33"/>
      <c r="BM19" t="s">
        <v>17</v>
      </c>
    </row>
    <row r="20" spans="2:65" x14ac:dyDescent="0.45">
      <c r="B20" s="75"/>
      <c r="C20" s="76" t="s">
        <v>60</v>
      </c>
      <c r="D20" s="77">
        <f>SUM(D17:D19)</f>
        <v>301.02</v>
      </c>
      <c r="E20" s="78"/>
      <c r="F20" s="127" t="s">
        <v>61</v>
      </c>
      <c r="G20" s="70">
        <v>0.45</v>
      </c>
      <c r="H20" s="65">
        <v>7.4999999999999997E-2</v>
      </c>
      <c r="I20" s="66">
        <f t="shared" si="2"/>
        <v>1.7999999999999998</v>
      </c>
      <c r="J20" s="36">
        <f t="shared" si="0"/>
        <v>2</v>
      </c>
      <c r="K20" s="67">
        <v>4.8000000000000001E-2</v>
      </c>
      <c r="L20" s="68">
        <v>57.6</v>
      </c>
      <c r="M20" s="36">
        <f t="shared" si="1"/>
        <v>0.89999999999999991</v>
      </c>
      <c r="N20" s="36">
        <f t="shared" si="3"/>
        <v>4</v>
      </c>
      <c r="BH20" s="35"/>
      <c r="BJ20" s="34"/>
      <c r="BK20" s="33"/>
      <c r="BM20" t="s">
        <v>26</v>
      </c>
    </row>
    <row r="21" spans="2:65" x14ac:dyDescent="0.45">
      <c r="B21" s="71" t="s">
        <v>62</v>
      </c>
      <c r="C21" s="71"/>
      <c r="D21" s="79"/>
      <c r="E21" s="36"/>
      <c r="F21" s="127" t="s">
        <v>63</v>
      </c>
      <c r="G21" s="70">
        <v>0.55000000000000004</v>
      </c>
      <c r="H21" s="65">
        <v>3.5999999999999997E-2</v>
      </c>
      <c r="I21" s="66">
        <f t="shared" si="2"/>
        <v>0.86399999999999988</v>
      </c>
      <c r="J21" s="36">
        <f t="shared" si="0"/>
        <v>1</v>
      </c>
      <c r="K21" s="67">
        <v>2.1000000000000001E-2</v>
      </c>
      <c r="L21" s="68">
        <v>25.2</v>
      </c>
      <c r="M21" s="36">
        <f t="shared" si="1"/>
        <v>0.43199999999999994</v>
      </c>
      <c r="N21" s="36">
        <f t="shared" si="3"/>
        <v>2</v>
      </c>
      <c r="BH21" s="35"/>
      <c r="BJ21" s="34"/>
      <c r="BK21" s="33"/>
    </row>
    <row r="22" spans="2:65" ht="39" x14ac:dyDescent="0.45">
      <c r="B22" s="73" t="s">
        <v>64</v>
      </c>
      <c r="C22" s="80"/>
      <c r="D22" s="81">
        <f>1500*D3</f>
        <v>0</v>
      </c>
      <c r="E22" s="36"/>
      <c r="F22" s="127" t="s">
        <v>65</v>
      </c>
      <c r="G22" s="70">
        <v>0.55000000000000004</v>
      </c>
      <c r="H22" s="65">
        <v>3.5999999999999997E-2</v>
      </c>
      <c r="I22" s="66">
        <f t="shared" si="2"/>
        <v>0.86399999999999988</v>
      </c>
      <c r="J22" s="36">
        <f t="shared" si="0"/>
        <v>1</v>
      </c>
      <c r="K22" s="67">
        <v>2.1000000000000001E-2</v>
      </c>
      <c r="L22" s="68">
        <v>25.2</v>
      </c>
      <c r="M22" s="36">
        <f t="shared" si="1"/>
        <v>0.43199999999999994</v>
      </c>
      <c r="N22" s="36">
        <f t="shared" si="3"/>
        <v>2</v>
      </c>
      <c r="BH22" s="35"/>
      <c r="BJ22" s="34"/>
      <c r="BK22" s="33"/>
    </row>
    <row r="23" spans="2:65" x14ac:dyDescent="0.45">
      <c r="B23" s="73" t="s">
        <v>66</v>
      </c>
      <c r="C23" s="54" t="s">
        <v>67</v>
      </c>
      <c r="D23" s="81">
        <f>((D5/3)/5)*D3</f>
        <v>0</v>
      </c>
      <c r="E23" s="36"/>
      <c r="F23" s="127" t="s">
        <v>68</v>
      </c>
      <c r="G23" s="70">
        <v>0.55000000000000004</v>
      </c>
      <c r="H23" s="65">
        <v>1.4999999999999999E-2</v>
      </c>
      <c r="I23" s="66">
        <f t="shared" si="2"/>
        <v>0.36</v>
      </c>
      <c r="J23" s="36">
        <f t="shared" si="0"/>
        <v>1</v>
      </c>
      <c r="K23" s="67">
        <v>0.01</v>
      </c>
      <c r="L23" s="68">
        <v>12</v>
      </c>
      <c r="M23" s="36">
        <f t="shared" si="1"/>
        <v>0.18</v>
      </c>
      <c r="N23" s="36">
        <f t="shared" si="3"/>
        <v>1</v>
      </c>
    </row>
    <row r="24" spans="2:65" x14ac:dyDescent="0.45">
      <c r="B24" s="73" t="s">
        <v>69</v>
      </c>
      <c r="C24" s="54" t="s">
        <v>70</v>
      </c>
      <c r="D24" s="81">
        <f>3500*D3</f>
        <v>0</v>
      </c>
      <c r="E24" s="36"/>
      <c r="F24" s="128" t="s">
        <v>71</v>
      </c>
      <c r="G24" s="82">
        <v>0.55000000000000004</v>
      </c>
      <c r="H24" s="65">
        <v>1.4999999999999999E-2</v>
      </c>
      <c r="I24" s="66">
        <f t="shared" si="2"/>
        <v>0.36</v>
      </c>
      <c r="J24" s="36">
        <f t="shared" si="0"/>
        <v>1</v>
      </c>
      <c r="K24" s="67">
        <v>0.01</v>
      </c>
      <c r="L24" s="68">
        <v>12</v>
      </c>
      <c r="M24" s="36">
        <f t="shared" si="1"/>
        <v>0.18</v>
      </c>
      <c r="N24" s="36">
        <f t="shared" si="3"/>
        <v>1</v>
      </c>
    </row>
    <row r="25" spans="2:65" ht="14.65" thickBot="1" x14ac:dyDescent="0.5">
      <c r="B25" s="73" t="s">
        <v>72</v>
      </c>
      <c r="C25" s="54" t="s">
        <v>73</v>
      </c>
      <c r="D25" s="81">
        <f>1000*D3</f>
        <v>0</v>
      </c>
      <c r="E25" s="36"/>
      <c r="F25" s="36"/>
      <c r="G25" s="36"/>
      <c r="H25" s="36"/>
      <c r="I25" s="36"/>
      <c r="J25" s="36"/>
      <c r="K25" s="36"/>
      <c r="L25" s="36"/>
      <c r="M25" s="36"/>
      <c r="N25" s="36"/>
    </row>
    <row r="26" spans="2:65" ht="14.65" thickBot="1" x14ac:dyDescent="0.5">
      <c r="B26" s="75"/>
      <c r="C26" s="76" t="s">
        <v>74</v>
      </c>
      <c r="D26" s="77">
        <f>SUM(D22:D25)</f>
        <v>0</v>
      </c>
      <c r="E26" s="36"/>
      <c r="F26" s="125" t="s">
        <v>75</v>
      </c>
      <c r="G26" s="122" t="s">
        <v>76</v>
      </c>
      <c r="H26" s="36"/>
      <c r="I26" s="36"/>
      <c r="J26" s="36"/>
      <c r="K26" s="36"/>
      <c r="L26" s="36"/>
      <c r="M26" s="36"/>
      <c r="N26" s="36"/>
    </row>
    <row r="27" spans="2:65" ht="14.65" thickBot="1" x14ac:dyDescent="0.5">
      <c r="B27" s="71" t="s">
        <v>77</v>
      </c>
      <c r="C27" s="71"/>
      <c r="D27" s="72"/>
      <c r="E27" s="36"/>
      <c r="F27" s="136" t="s">
        <v>126</v>
      </c>
      <c r="G27" s="137"/>
      <c r="H27" s="36"/>
      <c r="I27" s="36"/>
      <c r="J27" s="36"/>
      <c r="K27" s="36"/>
      <c r="L27" s="36"/>
      <c r="M27" s="36"/>
      <c r="N27" s="36"/>
    </row>
    <row r="28" spans="2:65" x14ac:dyDescent="0.45">
      <c r="B28" s="73" t="s">
        <v>78</v>
      </c>
      <c r="C28" s="54" t="s">
        <v>79</v>
      </c>
      <c r="D28" s="81">
        <f>D3*1500+D40*0.15</f>
        <v>2155.2885000000001</v>
      </c>
      <c r="E28" s="57"/>
      <c r="F28" s="99" t="s">
        <v>22</v>
      </c>
      <c r="G28" s="100">
        <v>20000</v>
      </c>
      <c r="H28" s="36"/>
      <c r="I28" s="36"/>
      <c r="J28" s="36"/>
      <c r="K28" s="36"/>
      <c r="L28" s="36"/>
      <c r="M28" s="36"/>
      <c r="N28" s="36"/>
    </row>
    <row r="29" spans="2:65" x14ac:dyDescent="0.45">
      <c r="B29" s="73" t="s">
        <v>80</v>
      </c>
      <c r="C29" s="54" t="s">
        <v>79</v>
      </c>
      <c r="D29" s="81">
        <v>500</v>
      </c>
      <c r="E29" s="57"/>
      <c r="F29" s="99" t="s">
        <v>27</v>
      </c>
      <c r="G29" s="100">
        <v>50000</v>
      </c>
      <c r="H29" s="36"/>
      <c r="I29" s="36"/>
      <c r="J29" s="36"/>
      <c r="K29" s="36"/>
      <c r="L29" s="36"/>
      <c r="M29" s="36"/>
      <c r="N29" s="36"/>
    </row>
    <row r="30" spans="2:65" x14ac:dyDescent="0.45">
      <c r="B30" s="73" t="s">
        <v>81</v>
      </c>
      <c r="C30" s="54" t="s">
        <v>82</v>
      </c>
      <c r="D30" s="81">
        <v>500</v>
      </c>
      <c r="E30" s="57"/>
      <c r="F30" s="99" t="s">
        <v>30</v>
      </c>
      <c r="G30" s="100">
        <v>80000</v>
      </c>
      <c r="H30" s="36"/>
      <c r="I30" s="36"/>
      <c r="J30" s="36"/>
      <c r="K30" s="36"/>
      <c r="L30" s="36"/>
      <c r="M30" s="36"/>
      <c r="N30" s="36"/>
    </row>
    <row r="31" spans="2:65" x14ac:dyDescent="0.45">
      <c r="B31" s="73" t="s">
        <v>83</v>
      </c>
      <c r="C31" s="54"/>
      <c r="D31" s="81">
        <v>500</v>
      </c>
      <c r="E31" s="57"/>
      <c r="F31" s="99"/>
      <c r="G31" s="101"/>
      <c r="H31" s="36"/>
      <c r="I31" s="36"/>
      <c r="J31" s="36"/>
      <c r="K31" s="36"/>
      <c r="L31" s="36"/>
      <c r="M31" s="36"/>
      <c r="N31" s="36"/>
    </row>
    <row r="32" spans="2:65" x14ac:dyDescent="0.45">
      <c r="B32" s="75"/>
      <c r="C32" s="76" t="s">
        <v>74</v>
      </c>
      <c r="D32" s="77">
        <f>SUM(D28:D31)</f>
        <v>3655.2885000000001</v>
      </c>
      <c r="E32" s="57"/>
      <c r="F32" s="130" t="s">
        <v>85</v>
      </c>
      <c r="G32" s="100">
        <v>5000</v>
      </c>
      <c r="H32" s="36"/>
      <c r="I32" s="36"/>
      <c r="J32" s="36"/>
      <c r="K32" s="36"/>
      <c r="L32" s="36"/>
      <c r="M32" s="36"/>
      <c r="N32" s="36"/>
    </row>
    <row r="33" spans="2:7" ht="14.65" thickBot="1" x14ac:dyDescent="0.5">
      <c r="B33" s="9"/>
      <c r="C33" s="18"/>
      <c r="D33" s="19"/>
      <c r="E33" s="2"/>
      <c r="F33" s="99"/>
      <c r="G33" s="101"/>
    </row>
    <row r="34" spans="2:7" ht="15.75" thickBot="1" x14ac:dyDescent="0.5">
      <c r="B34" s="17" t="s">
        <v>84</v>
      </c>
      <c r="C34" s="17"/>
      <c r="D34" s="20">
        <f>SUM(D20,D26,D32)</f>
        <v>3956.3085000000001</v>
      </c>
      <c r="E34" s="2"/>
      <c r="F34" s="136" t="s">
        <v>127</v>
      </c>
      <c r="G34" s="137"/>
    </row>
    <row r="35" spans="2:7" ht="14.65" thickBot="1" x14ac:dyDescent="0.5">
      <c r="E35" s="2"/>
      <c r="F35" s="99" t="s">
        <v>22</v>
      </c>
      <c r="G35" s="100">
        <v>50000</v>
      </c>
    </row>
    <row r="36" spans="2:7" ht="14.65" thickBot="1" x14ac:dyDescent="0.5">
      <c r="B36" s="138" t="s">
        <v>86</v>
      </c>
      <c r="C36" s="139"/>
      <c r="D36" s="140"/>
      <c r="E36" s="2"/>
      <c r="F36" s="99" t="s">
        <v>27</v>
      </c>
      <c r="G36" s="100">
        <v>100000</v>
      </c>
    </row>
    <row r="37" spans="2:7" x14ac:dyDescent="0.45">
      <c r="B37" s="3" t="s">
        <v>87</v>
      </c>
      <c r="C37" s="3" t="s">
        <v>46</v>
      </c>
      <c r="D37" s="3" t="s">
        <v>88</v>
      </c>
      <c r="E37" s="2"/>
      <c r="F37" s="99" t="s">
        <v>30</v>
      </c>
      <c r="G37" s="100">
        <v>130000</v>
      </c>
    </row>
    <row r="38" spans="2:7" x14ac:dyDescent="0.45">
      <c r="B38" s="4" t="s">
        <v>89</v>
      </c>
      <c r="C38" s="15"/>
      <c r="D38" s="92">
        <v>0</v>
      </c>
      <c r="E38" s="2"/>
      <c r="F38" s="99"/>
      <c r="G38" s="101"/>
    </row>
    <row r="39" spans="2:7" ht="14.65" thickBot="1" x14ac:dyDescent="0.5">
      <c r="B39" s="4" t="s">
        <v>90</v>
      </c>
      <c r="C39" s="15"/>
      <c r="D39" s="90">
        <f>IF(D9=D52,0,IF(D9=D53,0,D8*D11*VLOOKUP(D2,F14:G24,2,FALSE)*60*365))</f>
        <v>14368.590000000002</v>
      </c>
      <c r="E39" s="2"/>
      <c r="F39" s="102" t="s">
        <v>85</v>
      </c>
      <c r="G39" s="103">
        <v>7500</v>
      </c>
    </row>
    <row r="40" spans="2:7" x14ac:dyDescent="0.45">
      <c r="C40" s="5" t="s">
        <v>74</v>
      </c>
      <c r="D40" s="91">
        <f>SUM(D38:D39)</f>
        <v>14368.590000000002</v>
      </c>
      <c r="E40" s="2"/>
      <c r="F40" s="97"/>
      <c r="G40" s="97"/>
    </row>
    <row r="41" spans="2:7" ht="15.4" x14ac:dyDescent="0.45">
      <c r="B41" s="21" t="s">
        <v>91</v>
      </c>
      <c r="C41" s="21"/>
      <c r="D41" s="93">
        <f>D40</f>
        <v>14368.590000000002</v>
      </c>
      <c r="E41" s="2"/>
      <c r="F41" s="2"/>
      <c r="G41" s="2"/>
    </row>
    <row r="42" spans="2:7" ht="14.65" thickBot="1" x14ac:dyDescent="0.5">
      <c r="E42" s="2"/>
      <c r="F42" s="2"/>
      <c r="G42" s="2"/>
    </row>
    <row r="43" spans="2:7" ht="24" thickTop="1" thickBot="1" x14ac:dyDescent="0.75">
      <c r="B43" s="23" t="s">
        <v>92</v>
      </c>
      <c r="C43" s="22"/>
      <c r="D43" s="94">
        <f>D41-D34</f>
        <v>10412.281500000001</v>
      </c>
      <c r="E43" s="2"/>
      <c r="F43" s="2"/>
      <c r="G43" s="2"/>
    </row>
    <row r="44" spans="2:7" ht="16.899999999999999" hidden="1" thickTop="1" x14ac:dyDescent="0.75">
      <c r="C44" s="24" t="s">
        <v>93</v>
      </c>
      <c r="D44" s="24" t="s">
        <v>94</v>
      </c>
      <c r="E44" s="25" t="s">
        <v>95</v>
      </c>
      <c r="F44" s="2"/>
      <c r="G44" s="2"/>
    </row>
    <row r="45" spans="2:7" hidden="1" x14ac:dyDescent="0.45">
      <c r="B45" s="6" t="s">
        <v>96</v>
      </c>
      <c r="C45" s="7">
        <v>0.12</v>
      </c>
      <c r="D45" s="7"/>
      <c r="E45" s="8">
        <f>46.46*365/60</f>
        <v>282.63166666666672</v>
      </c>
      <c r="F45" s="2"/>
      <c r="G45" s="2"/>
    </row>
    <row r="46" spans="2:7" hidden="1" x14ac:dyDescent="0.45">
      <c r="B46" s="9" t="s">
        <v>97</v>
      </c>
      <c r="C46">
        <v>0.21</v>
      </c>
      <c r="E46" s="10">
        <f>26.56*365/30</f>
        <v>323.14666666666665</v>
      </c>
      <c r="F46" s="2"/>
      <c r="G46" s="2"/>
    </row>
    <row r="47" spans="2:7" hidden="1" x14ac:dyDescent="0.45">
      <c r="B47" s="9" t="s">
        <v>98</v>
      </c>
      <c r="C47">
        <v>0.27</v>
      </c>
      <c r="E47" s="26">
        <f>26.56*365/30</f>
        <v>323.14666666666665</v>
      </c>
    </row>
    <row r="48" spans="2:7" hidden="1" x14ac:dyDescent="0.45">
      <c r="B48" s="9"/>
      <c r="E48" s="11"/>
    </row>
    <row r="49" spans="1:8" hidden="1" x14ac:dyDescent="0.45">
      <c r="A49" s="16"/>
      <c r="B49" s="9" t="s">
        <v>12</v>
      </c>
      <c r="C49">
        <v>0.12</v>
      </c>
      <c r="E49" s="10">
        <f>0.3608*365</f>
        <v>131.69200000000001</v>
      </c>
    </row>
    <row r="50" spans="1:8" hidden="1" x14ac:dyDescent="0.45">
      <c r="B50" s="9" t="s">
        <v>99</v>
      </c>
      <c r="C50">
        <v>9.6199999999999994E-2</v>
      </c>
      <c r="E50" s="10">
        <f>0.2656*365</f>
        <v>96.944000000000003</v>
      </c>
    </row>
    <row r="51" spans="1:8" hidden="1" x14ac:dyDescent="0.45">
      <c r="A51" t="s">
        <v>100</v>
      </c>
      <c r="B51" s="9" t="s">
        <v>101</v>
      </c>
      <c r="C51">
        <v>6.0199999999999997E-2</v>
      </c>
      <c r="D51">
        <v>7.4099999999999999E-2</v>
      </c>
      <c r="E51" s="10">
        <f>0.2656*365</f>
        <v>96.944000000000003</v>
      </c>
    </row>
    <row r="52" spans="1:8" hidden="1" x14ac:dyDescent="0.45">
      <c r="B52" s="6"/>
      <c r="C52" s="7"/>
      <c r="D52" s="7" t="s">
        <v>102</v>
      </c>
      <c r="E52" s="8"/>
    </row>
    <row r="53" spans="1:8" hidden="1" x14ac:dyDescent="0.45">
      <c r="B53" s="9"/>
      <c r="D53" t="s">
        <v>103</v>
      </c>
      <c r="E53" s="11"/>
    </row>
    <row r="54" spans="1:8" hidden="1" x14ac:dyDescent="0.45">
      <c r="B54" s="9"/>
      <c r="D54" t="s">
        <v>21</v>
      </c>
      <c r="E54" s="11"/>
    </row>
    <row r="55" spans="1:8" hidden="1" x14ac:dyDescent="0.45">
      <c r="B55" s="12"/>
      <c r="C55" s="13"/>
      <c r="D55" s="13" t="s">
        <v>104</v>
      </c>
      <c r="E55" s="14"/>
    </row>
    <row r="56" spans="1:8" hidden="1" x14ac:dyDescent="0.45"/>
    <row r="57" spans="1:8" ht="14.65" thickTop="1" x14ac:dyDescent="0.45"/>
    <row r="59" spans="1:8" hidden="1" x14ac:dyDescent="0.45">
      <c r="C59" s="141" t="s">
        <v>120</v>
      </c>
      <c r="D59" s="141"/>
      <c r="E59" s="141" t="s">
        <v>54</v>
      </c>
      <c r="F59" s="141"/>
      <c r="G59" s="141" t="s">
        <v>121</v>
      </c>
      <c r="H59" s="141"/>
    </row>
    <row r="60" spans="1:8" hidden="1" x14ac:dyDescent="0.45">
      <c r="B60" t="s">
        <v>118</v>
      </c>
      <c r="C60">
        <v>0</v>
      </c>
      <c r="E60" s="30">
        <v>0.10906</v>
      </c>
      <c r="F60" t="s">
        <v>122</v>
      </c>
      <c r="G60" s="29">
        <v>50.17</v>
      </c>
      <c r="H60" t="s">
        <v>123</v>
      </c>
    </row>
    <row r="61" spans="1:8" hidden="1" x14ac:dyDescent="0.45">
      <c r="B61" t="s">
        <v>124</v>
      </c>
      <c r="C61" s="30">
        <v>12.39</v>
      </c>
      <c r="D61" t="s">
        <v>114</v>
      </c>
      <c r="E61" s="31">
        <v>7.5270000000000004E-2</v>
      </c>
      <c r="F61" t="s">
        <v>122</v>
      </c>
      <c r="G61" s="29">
        <v>58.9</v>
      </c>
      <c r="H61" t="s">
        <v>125</v>
      </c>
    </row>
    <row r="73" spans="1:4" hidden="1" x14ac:dyDescent="0.45"/>
    <row r="74" spans="1:4" hidden="1" x14ac:dyDescent="0.45">
      <c r="A74" s="16" t="s">
        <v>105</v>
      </c>
      <c r="C74" s="16" t="s">
        <v>106</v>
      </c>
    </row>
    <row r="75" spans="1:4" hidden="1" x14ac:dyDescent="0.45">
      <c r="B75" t="s">
        <v>107</v>
      </c>
      <c r="C75">
        <v>0.12</v>
      </c>
      <c r="D75" t="s">
        <v>108</v>
      </c>
    </row>
    <row r="76" spans="1:4" hidden="1" x14ac:dyDescent="0.45">
      <c r="B76" t="s">
        <v>109</v>
      </c>
      <c r="C76">
        <v>0.21</v>
      </c>
      <c r="D76" t="s">
        <v>108</v>
      </c>
    </row>
    <row r="77" spans="1:4" hidden="1" x14ac:dyDescent="0.45">
      <c r="B77" t="s">
        <v>110</v>
      </c>
      <c r="C77">
        <v>0.27</v>
      </c>
      <c r="D77" t="s">
        <v>108</v>
      </c>
    </row>
    <row r="78" spans="1:4" hidden="1" x14ac:dyDescent="0.45"/>
    <row r="79" spans="1:4" hidden="1" x14ac:dyDescent="0.45">
      <c r="B79" s="24" t="s">
        <v>111</v>
      </c>
    </row>
    <row r="80" spans="1:4" hidden="1" x14ac:dyDescent="0.45">
      <c r="B80" t="s">
        <v>95</v>
      </c>
      <c r="C80">
        <v>0.2656</v>
      </c>
      <c r="D80" t="s">
        <v>112</v>
      </c>
    </row>
    <row r="81" spans="2:6" hidden="1" x14ac:dyDescent="0.45">
      <c r="B81" t="s">
        <v>113</v>
      </c>
      <c r="C81">
        <v>5.38</v>
      </c>
      <c r="D81" t="s">
        <v>114</v>
      </c>
    </row>
    <row r="82" spans="2:6" hidden="1" x14ac:dyDescent="0.45">
      <c r="B82" t="s">
        <v>93</v>
      </c>
      <c r="C82">
        <v>9.6199999999999994E-2</v>
      </c>
      <c r="D82" t="s">
        <v>115</v>
      </c>
    </row>
    <row r="83" spans="2:6" hidden="1" x14ac:dyDescent="0.45"/>
    <row r="84" spans="2:6" hidden="1" x14ac:dyDescent="0.45">
      <c r="B84" s="24" t="s">
        <v>116</v>
      </c>
      <c r="E84" s="24" t="s">
        <v>117</v>
      </c>
    </row>
    <row r="85" spans="2:6" hidden="1" x14ac:dyDescent="0.45">
      <c r="B85" t="s">
        <v>95</v>
      </c>
      <c r="C85">
        <v>0.2656</v>
      </c>
      <c r="D85" t="s">
        <v>112</v>
      </c>
      <c r="E85">
        <v>0.2656</v>
      </c>
      <c r="F85" t="s">
        <v>112</v>
      </c>
    </row>
    <row r="86" spans="2:6" hidden="1" x14ac:dyDescent="0.45">
      <c r="B86" t="s">
        <v>113</v>
      </c>
      <c r="C86">
        <v>12.26</v>
      </c>
      <c r="D86" t="s">
        <v>114</v>
      </c>
      <c r="E86">
        <v>12.26</v>
      </c>
      <c r="F86" t="s">
        <v>114</v>
      </c>
    </row>
    <row r="87" spans="2:6" hidden="1" x14ac:dyDescent="0.45">
      <c r="B87" t="s">
        <v>93</v>
      </c>
      <c r="C87">
        <v>6.0199999999999997E-2</v>
      </c>
      <c r="D87" t="s">
        <v>115</v>
      </c>
      <c r="E87">
        <v>7.4099999999999999E-2</v>
      </c>
      <c r="F87" t="s">
        <v>115</v>
      </c>
    </row>
    <row r="88" spans="2:6" hidden="1" x14ac:dyDescent="0.45"/>
    <row r="89" spans="2:6" hidden="1" x14ac:dyDescent="0.45"/>
    <row r="125" ht="24.75" customHeight="1" x14ac:dyDescent="0.45"/>
  </sheetData>
  <sheetProtection sheet="1" objects="1" scenarios="1"/>
  <mergeCells count="8">
    <mergeCell ref="F2:G2"/>
    <mergeCell ref="B14:D14"/>
    <mergeCell ref="B36:D36"/>
    <mergeCell ref="C59:D59"/>
    <mergeCell ref="E59:F59"/>
    <mergeCell ref="G59:H59"/>
    <mergeCell ref="F27:G27"/>
    <mergeCell ref="F34:G34"/>
  </mergeCells>
  <dataValidations count="7">
    <dataValidation type="list" allowBlank="1" showInputMessage="1" showErrorMessage="1" sqref="D7" xr:uid="{E65D0B5A-28C7-45B5-BF62-546C087AB201}">
      <formula1>$B$60:$B$61</formula1>
    </dataValidation>
    <dataValidation operator="equal" allowBlank="1" showInputMessage="1" showErrorMessage="1" sqref="D4" xr:uid="{0897FC3A-F350-4031-BCF8-C6E2097C5630}"/>
    <dataValidation allowBlank="1" showInputMessage="1" showErrorMessage="1" sqref="D3" xr:uid="{CCEE5894-1E4F-446F-BCB4-24939CBF5359}"/>
    <dataValidation type="list" allowBlank="1" showInputMessage="1" showErrorMessage="1" sqref="D9" xr:uid="{249A9B2E-C4DC-4908-92C1-A675FB880B9F}">
      <formula1>$D$52:$D$55</formula1>
    </dataValidation>
    <dataValidation type="list" allowBlank="1" showInputMessage="1" showErrorMessage="1" sqref="D2" xr:uid="{AF191536-3CF0-4F8F-9C5B-A9636B3C8704}">
      <formula1>$F$14:$F$24</formula1>
    </dataValidation>
    <dataValidation type="decimal" allowBlank="1" showInputMessage="1" showErrorMessage="1" sqref="D5" xr:uid="{43EE5362-9E51-4D5B-9F44-23448322B0B5}">
      <formula1>5000</formula1>
      <formula2>250000</formula2>
    </dataValidation>
    <dataValidation type="decimal" allowBlank="1" showInputMessage="1" showErrorMessage="1" sqref="D8" xr:uid="{06074AF3-923D-4736-A4B7-0FE256EEC17F}">
      <formula1>0</formula1>
      <formula2>20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2b547ae-4fe4-4e5f-9755-02779098f524">
      <Terms xmlns="http://schemas.microsoft.com/office/infopath/2007/PartnerControls"/>
    </lcf76f155ced4ddcb4097134ff3c332f>
    <TaxCatchAll xmlns="5cbfdc57-fd6c-401c-97bb-e15d7f22ef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CEC278050BA643A057D65B439F60EC" ma:contentTypeVersion="18" ma:contentTypeDescription="Create a new document." ma:contentTypeScope="" ma:versionID="044320bac1861600b0cd8af1918509a4">
  <xsd:schema xmlns:xsd="http://www.w3.org/2001/XMLSchema" xmlns:xs="http://www.w3.org/2001/XMLSchema" xmlns:p="http://schemas.microsoft.com/office/2006/metadata/properties" xmlns:ns2="d2b547ae-4fe4-4e5f-9755-02779098f524" xmlns:ns3="5cbfdc57-fd6c-401c-97bb-e15d7f22efbc" targetNamespace="http://schemas.microsoft.com/office/2006/metadata/properties" ma:root="true" ma:fieldsID="ee090fe53ac334d53e1db5bf7a097540" ns2:_="" ns3:_="">
    <xsd:import namespace="d2b547ae-4fe4-4e5f-9755-02779098f524"/>
    <xsd:import namespace="5cbfdc57-fd6c-401c-97bb-e15d7f22ef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b547ae-4fe4-4e5f-9755-02779098f5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a90587f-ec47-45b6-b9e0-191401a880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bfdc57-fd6c-401c-97bb-e15d7f22ef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cabe711-1019-4694-a20d-e36bd439d17a}" ma:internalName="TaxCatchAll" ma:showField="CatchAllData" ma:web="5cbfdc57-fd6c-401c-97bb-e15d7f22ef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FD4D0-D530-4B44-A79F-A4040285D984}">
  <ds:schemaRefs>
    <ds:schemaRef ds:uri="http://schemas.microsoft.com/sharepoint/v3/contenttype/forms"/>
  </ds:schemaRefs>
</ds:datastoreItem>
</file>

<file path=customXml/itemProps2.xml><?xml version="1.0" encoding="utf-8"?>
<ds:datastoreItem xmlns:ds="http://schemas.openxmlformats.org/officeDocument/2006/customXml" ds:itemID="{B9DDDF9F-9E67-4F05-9488-A7D4A9846F6E}">
  <ds:schemaRefs>
    <ds:schemaRef ds:uri="http://schemas.microsoft.com/office/2006/metadata/properties"/>
    <ds:schemaRef ds:uri="http://schemas.microsoft.com/office/infopath/2007/PartnerControls"/>
    <ds:schemaRef ds:uri="d2b547ae-4fe4-4e5f-9755-02779098f524"/>
    <ds:schemaRef ds:uri="5cbfdc57-fd6c-401c-97bb-e15d7f22efbc"/>
  </ds:schemaRefs>
</ds:datastoreItem>
</file>

<file path=customXml/itemProps3.xml><?xml version="1.0" encoding="utf-8"?>
<ds:datastoreItem xmlns:ds="http://schemas.openxmlformats.org/officeDocument/2006/customXml" ds:itemID="{A0BD876C-D05A-4DC7-85EA-92C06363F6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b547ae-4fe4-4e5f-9755-02779098f524"/>
    <ds:schemaRef ds:uri="5cbfdc57-fd6c-401c-97bb-e15d7f22ef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Disclaimer</vt:lpstr>
      <vt:lpstr>O &amp; M Cost &amp; Revenue_BC Hydro</vt:lpstr>
      <vt:lpstr>O &amp; M Cost &amp; Revenue_Fortis BC</vt:lpstr>
      <vt:lpstr>'O &amp; M Cost &amp; Revenue_Fortis BC'!Community</vt:lpstr>
      <vt:lpstr>Community</vt:lpstr>
      <vt:lpstr>'O &amp; M Cost &amp; Revenue_Fortis BC'!FortisBC</vt:lpstr>
      <vt:lpstr>FortisBC</vt:lpstr>
      <vt:lpstr>'O &amp; M Cost &amp; Revenue_Fortis BC'!Hydro</vt:lpstr>
      <vt:lpstr>Hydro</vt:lpstr>
      <vt:lpstr>'O &amp; M Cost &amp; Revenue_Fortis BC'!Level2</vt:lpstr>
      <vt:lpstr>Level2</vt:lpstr>
      <vt:lpstr>'O &amp; M Cost &amp; Revenue_Fortis BC'!No</vt:lpstr>
      <vt:lpstr>No</vt:lpstr>
      <vt:lpstr>'O &amp; M Cost &amp; Revenue_Fortis BC'!Range1</vt:lpstr>
      <vt:lpstr>Range1</vt:lpstr>
      <vt:lpstr>'O &amp; M Cost &amp; Revenue_Fortis BC'!Range2</vt:lpstr>
      <vt:lpstr>Range2</vt:lpstr>
      <vt:lpstr>'O &amp; M Cost &amp; Revenue_Fortis BC'!Range3</vt:lpstr>
      <vt:lpstr>Range3</vt:lpstr>
      <vt:lpstr>'O &amp; M Cost &amp; Revenue_Fortis BC'!Rebate1</vt:lpstr>
      <vt:lpstr>Rebate1</vt:lpstr>
      <vt:lpstr>'O &amp; M Cost &amp; Revenue_Fortis BC'!Yes</vt:lpstr>
      <vt:lpstr>Yes</vt:lpstr>
    </vt:vector>
  </TitlesOfParts>
  <Manager/>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Laura</dc:creator>
  <cp:keywords/>
  <dc:description/>
  <cp:lastModifiedBy>Pulkit Kathuria</cp:lastModifiedBy>
  <cp:revision/>
  <dcterms:created xsi:type="dcterms:W3CDTF">2015-02-25T20:21:21Z</dcterms:created>
  <dcterms:modified xsi:type="dcterms:W3CDTF">2022-11-29T00:48:24Z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0x0101004DCEC278050BA643A057D65B439F60EC</vt:lpwstr>
  </property>
  <property fmtid="{D5CDD505-2E9C-101B-9397-08002B2CF9AE}" pid="3" name="MediaServiceImageTags">
    <vt:lpwstr/>
  </property>
</Properties>
</file>